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Inversión" sheetId="2" state="visible" r:id="rId4"/>
    <sheet name="P&amp;L 15 año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<sst xmlns="http://schemas.openxmlformats.org/spreadsheetml/2006/main" count="155" uniqueCount="143">
  <si>
    <t xml:space="preserve">TALHO ARGENTINO — MODELO ECONÓMICO PARA FRANQUICIADOS</t>
  </si>
  <si>
    <t xml:space="preserve">Cómo usarlo: elegí el país en la celda amarilla B4. Cada supuesto trae un valor sugerido por país (datos reales del grupo, dic-2025 a jul-2026, contabilidad analítica por tienda); si querés otro valor, escribilo en la columna 'Tu valor' (amarilla) y el modelo lo usa. Las ventas del modelo son solo de MOSTRADOR; las apps de delivery van por separado con su comisión.</t>
  </si>
  <si>
    <t xml:space="preserve">País (PT / ES)</t>
  </si>
  <si>
    <t xml:space="preserve">PT</t>
  </si>
  <si>
    <t xml:space="preserve">PT = Portugal · ES = España. Cambia costos laborales, gestoría, alquiler sugerido e impuesto.</t>
  </si>
  <si>
    <t xml:space="preserve">Supuesto</t>
  </si>
  <si>
    <t xml:space="preserve">Valor usado</t>
  </si>
  <si>
    <t xml:space="preserve">Sugerido PT</t>
  </si>
  <si>
    <t xml:space="preserve">Sugerido ES</t>
  </si>
  <si>
    <t xml:space="preserve">Tu valor</t>
  </si>
  <si>
    <t xml:space="preserve">Nota</t>
  </si>
  <si>
    <t xml:space="preserve">VENTAS</t>
  </si>
  <si>
    <t xml:space="preserve">Venta mensual madura de mostrador (sin IVA)</t>
  </si>
  <si>
    <t xml:space="preserve">Real del mostrador de las tiendas maduras feb–jul 2026: €25–26k/mes. Mejor mes: €33k (Estoril jul-26). No incluye la tienda online del grupo ni delivery.</t>
  </si>
  <si>
    <t xml:space="preserve">Venta mensual por apps de delivery (PVP en app)</t>
  </si>
  <si>
    <t xml:space="preserve">Uber/Glovo. Real por tienda madura: €1,5–2,7k/mes. Poné 0 si no querés contarlas.</t>
  </si>
  <si>
    <t xml:space="preserve">Venta mensual a restaurantes (B2B)</t>
  </si>
  <si>
    <t xml:space="preserve">Restaurantes de la zona comprando a la tienda. Canal real en Estoril y Lisboa.</t>
  </si>
  <si>
    <t xml:space="preserve">Margen sobre venta a restaurantes</t>
  </si>
  <si>
    <t xml:space="preserve">Referencia real medida en Estoril y Lisboa: ~13%.</t>
  </si>
  <si>
    <t xml:space="preserve">Sobreprecio del PVP en app vs mostrador</t>
  </si>
  <si>
    <t xml:space="preserve">En las apps se vende ~20% más caro; el costo de mercadería por € vendido baja en esa proporción.</t>
  </si>
  <si>
    <t xml:space="preserve">Comisión de las apps (% del PVP en app)</t>
  </si>
  <si>
    <t xml:space="preserve">Rampa de venta — año 1 (% de la venta madura)</t>
  </si>
  <si>
    <t xml:space="preserve">Curva real de la franquicia de Barcelona en su primer año.</t>
  </si>
  <si>
    <t xml:space="preserve">Rampa de venta — año 2</t>
  </si>
  <si>
    <t xml:space="preserve">Rampa de venta — año 3</t>
  </si>
  <si>
    <t xml:space="preserve">Crecimiento anual de ventas desde año 4</t>
  </si>
  <si>
    <t xml:space="preserve">Margen bruto sobre venta de mostrador</t>
  </si>
  <si>
    <t xml:space="preserve">Objetivo para el franquiciado: 30%, en línea con las tiendas propias (29,0–30,3% real por contabilidad analítica).</t>
  </si>
  <si>
    <t xml:space="preserve">COSTOS OPERATIVOS MENSUALES</t>
  </si>
  <si>
    <t xml:space="preserve">Alquiler mensual</t>
  </si>
  <si>
    <t xml:space="preserve">Reales del grupo: Estoril €1.000, Lisboa €2.000, Madrid €2.465/mes.</t>
  </si>
  <si>
    <t xml:space="preserve">Empleados contratados (1,0 = full time; 0,5 = part time)</t>
  </si>
  <si>
    <t xml:space="preserve">Modelo real del grupo en PT: 1 empleado fijo por tienda + 1 volante compartido cada 2–3 tiendas (libres y vacaciones). Estoril opera con 1 sola persona abriendo 5 días.</t>
  </si>
  <si>
    <t xml:space="preserve">Costo empresa por empleado full time (mensual)</t>
  </si>
  <si>
    <t xml:space="preserve">ES: dato real Madrid (bruto €20k/año + Seguridad Social). PT: salario + TSU 23,75% + subsidio alimentación.</t>
  </si>
  <si>
    <t xml:space="preserve">Servicios (luz, agua, internet)</t>
  </si>
  <si>
    <t xml:space="preserve">Reales por tienda: €215–315/mes.</t>
  </si>
  <si>
    <t xml:space="preserve">Gestoría / contabilidad</t>
  </si>
  <si>
    <t xml:space="preserve">Alarma, software y pantalla</t>
  </si>
  <si>
    <t xml:space="preserve">Seguros y varios</t>
  </si>
  <si>
    <t xml:space="preserve">Reales: €120–130/mes.</t>
  </si>
  <si>
    <t xml:space="preserve">Mermas y ajustes de stock (% de venta de mostrador)</t>
  </si>
  <si>
    <t xml:space="preserve">≈1%: producto envasado al vacío, sin recortes.</t>
  </si>
  <si>
    <t xml:space="preserve">Comisiones medios de pago (% de venta de mostrador)</t>
  </si>
  <si>
    <t xml:space="preserve">Solo mostrador: las apps ya descuentan su comisión aparte.</t>
  </si>
  <si>
    <t xml:space="preserve">Inflación anual de costos (desde año 2)</t>
  </si>
  <si>
    <t xml:space="preserve">Aplica a alquiler, personal y estructura.</t>
  </si>
  <si>
    <t xml:space="preserve">FRANQUICIA</t>
  </si>
  <si>
    <t xml:space="preserve">Umbral 1 de royalty (venta mensual total)</t>
  </si>
  <si>
    <t xml:space="preserve">Por debajo de este nivel de venta no se paga royalty.</t>
  </si>
  <si>
    <t xml:space="preserve">Umbral 2 de royalty (venta mensual total)</t>
  </si>
  <si>
    <t xml:space="preserve">Royalty entre umbral 1 y 2 (% de ventas)</t>
  </si>
  <si>
    <t xml:space="preserve">Royalty desde umbral 2 (% de ventas)</t>
  </si>
  <si>
    <t xml:space="preserve">Fondo de publicidad (% de ventas)</t>
  </si>
  <si>
    <t xml:space="preserve">IMPUESTOS Y AMORTIZACIÓN</t>
  </si>
  <si>
    <t xml:space="preserve">Impuesto de sociedades</t>
  </si>
  <si>
    <t xml:space="preserve">PT: IRC PME ~16–20%. ES: micro/PYME ~21–23%. Confirmalo con tu asesor.</t>
  </si>
  <si>
    <t xml:space="preserve">Años de amortización del CAPEX</t>
  </si>
  <si>
    <t xml:space="preserve">INVERSIÓN INICIAL</t>
  </si>
  <si>
    <t xml:space="preserve">Importes sin IVA, editables (celdas amarillas). Presupuesto de referencia para un local de ~45 m², basado en las aperturas reales del grupo. 'Amortizable' marca qué partidas se activan y amortizan. El stock inicial y la fianza no son gastos: son capital circulante que adelantás y recuperás.</t>
  </si>
  <si>
    <t xml:space="preserve">Concepto</t>
  </si>
  <si>
    <t xml:space="preserve">Importe</t>
  </si>
  <si>
    <t xml:space="preserve">Amortizable</t>
  </si>
  <si>
    <t xml:space="preserve">Obra civil (~45 m²)</t>
  </si>
  <si>
    <t xml:space="preserve">S</t>
  </si>
  <si>
    <t xml:space="preserve">Del presupuesto tipo: ~€300–400/m² según estado del local.</t>
  </si>
  <si>
    <t xml:space="preserve">Equipamiento de frío (mural, congelador, back)</t>
  </si>
  <si>
    <t xml:space="preserve">Mural 25 m lineales, congelador exposición, frío de trastienda, clima.</t>
  </si>
  <si>
    <t xml:space="preserve">Mobiliario, rotulación, toldo y cartel</t>
  </si>
  <si>
    <t xml:space="preserve">Estantería, mesa central, mostrador caja, cartel luminoso, toldo, vinilos.</t>
  </si>
  <si>
    <t xml:space="preserve">Proyecto de obra y dirección</t>
  </si>
  <si>
    <t xml:space="preserve">Estudio de arquitectura del grupo — proyecto ejecutivo completo.</t>
  </si>
  <si>
    <t xml:space="preserve">Licencias, habilitación y HACCP</t>
  </si>
  <si>
    <t xml:space="preserve">Constitución de sociedad</t>
  </si>
  <si>
    <t xml:space="preserve">N</t>
  </si>
  <si>
    <t xml:space="preserve">Canon de entrada</t>
  </si>
  <si>
    <t xml:space="preserve">Derecho de uso de marca, amortizable a lo largo del contrato.</t>
  </si>
  <si>
    <t xml:space="preserve">Fianza, reserva y primer alquiler</t>
  </si>
  <si>
    <t xml:space="preserve">≈ 3 meses de alquiler. La fianza queda en tu balance: circulante.</t>
  </si>
  <si>
    <t xml:space="preserve">Stock inicial de mercadería (capital circulante)</t>
  </si>
  <si>
    <t xml:space="preserve">No es un gasto: es mercadería que adelantás para llenar el mural y rota desde el día uno.</t>
  </si>
  <si>
    <t xml:space="preserve">Publicidad de lanzamiento</t>
  </si>
  <si>
    <t xml:space="preserve">Caja inicial y sueldos pre-apertura</t>
  </si>
  <si>
    <t xml:space="preserve">Contingencia</t>
  </si>
  <si>
    <t xml:space="preserve">≈ 6% del total. Siempre aparece algo.</t>
  </si>
  <si>
    <t xml:space="preserve">DESEMBOLSO TOTAL</t>
  </si>
  <si>
    <t xml:space="preserve">de la cual, CAPEX amortizable</t>
  </si>
  <si>
    <t xml:space="preserve">de la cual, circulante recuperable (stock + fianza)</t>
  </si>
  <si>
    <t xml:space="preserve">P&amp;L PROYECTADO A 15 AÑOS — TODO SIN IVA</t>
  </si>
  <si>
    <t xml:space="preserve">No hay nada para editar acá: todo sale de las hojas Inputs e Inversión. El recupero se mide sobre la inversión HUNDIDA (desembolso menos stock inicial y fianza, que son circulante recuperable). El royalty se calcula escalonado sobre la venta mensual total. Es una proyección basada en supuestos, no una promesa de resultados.</t>
  </si>
  <si>
    <t xml:space="preserve">Año 1</t>
  </si>
  <si>
    <t xml:space="preserve">Año 2</t>
  </si>
  <si>
    <t xml:space="preserve">Año 3</t>
  </si>
  <si>
    <t xml:space="preserve">Año 4</t>
  </si>
  <si>
    <t xml:space="preserve">Año 5</t>
  </si>
  <si>
    <t xml:space="preserve">Año 6</t>
  </si>
  <si>
    <t xml:space="preserve">Año 7</t>
  </si>
  <si>
    <t xml:space="preserve">Año 8</t>
  </si>
  <si>
    <t xml:space="preserve">Año 9</t>
  </si>
  <si>
    <t xml:space="preserve">Año 10</t>
  </si>
  <si>
    <t xml:space="preserve">Año 11</t>
  </si>
  <si>
    <t xml:space="preserve">Año 12</t>
  </si>
  <si>
    <t xml:space="preserve">Año 13</t>
  </si>
  <si>
    <t xml:space="preserve">Año 14</t>
  </si>
  <si>
    <t xml:space="preserve">Año 15</t>
  </si>
  <si>
    <t xml:space="preserve">Factor de venta (rampa)</t>
  </si>
  <si>
    <t xml:space="preserve">Índice de costos (inflación)</t>
  </si>
  <si>
    <t xml:space="preserve">Ventas mostrador</t>
  </si>
  <si>
    <t xml:space="preserve">Ventas apps de delivery (PVP en app)</t>
  </si>
  <si>
    <t xml:space="preserve">Ventas a restaurantes (B2B)</t>
  </si>
  <si>
    <t xml:space="preserve">Ventas totales</t>
  </si>
  <si>
    <t xml:space="preserve">CMV mostrador</t>
  </si>
  <si>
    <t xml:space="preserve">CMV apps + comisión de la app</t>
  </si>
  <si>
    <t xml:space="preserve">CMV restaurantes</t>
  </si>
  <si>
    <t xml:space="preserve">Margen bruto</t>
  </si>
  <si>
    <t xml:space="preserve">  % margen s/ventas totales</t>
  </si>
  <si>
    <t xml:space="preserve">Personal (costo empresa)</t>
  </si>
  <si>
    <t xml:space="preserve">Alquiler</t>
  </si>
  <si>
    <t xml:space="preserve">Servicios</t>
  </si>
  <si>
    <t xml:space="preserve">Gestoría + alarma/software + seguros</t>
  </si>
  <si>
    <t xml:space="preserve">Mermas y ajustes de stock</t>
  </si>
  <si>
    <t xml:space="preserve">Comisiones medios de pago (mostrador)</t>
  </si>
  <si>
    <t xml:space="preserve">Royalty (escalonado s/venta mensual)</t>
  </si>
  <si>
    <t xml:space="preserve">Fondo de publicidad</t>
  </si>
  <si>
    <t xml:space="preserve">EBITDA</t>
  </si>
  <si>
    <t xml:space="preserve">  % EBITDA s/ventas totales</t>
  </si>
  <si>
    <t xml:space="preserve">Amortización CAPEX</t>
  </si>
  <si>
    <t xml:space="preserve">Resultado antes de impuestos</t>
  </si>
  <si>
    <t xml:space="preserve">Resultado neto</t>
  </si>
  <si>
    <t xml:space="preserve">Caja generada (EBITDA − impuesto)</t>
  </si>
  <si>
    <t xml:space="preserve">Caja acumulada (neta de la inversión hundida)</t>
  </si>
  <si>
    <t xml:space="preserve">¿Inversión recuperada?</t>
  </si>
  <si>
    <t xml:space="preserve">RESUMEN</t>
  </si>
  <si>
    <t xml:space="preserve">Desembolso total (con circulante)</t>
  </si>
  <si>
    <t xml:space="preserve">Inversión hundida a recuperar (sin stock ni fianza)</t>
  </si>
  <si>
    <t xml:space="preserve">Recupero de la inversión hundida (años)</t>
  </si>
  <si>
    <t xml:space="preserve">ROI a 5 años (resultado neto acum. / inversión hundida)</t>
  </si>
  <si>
    <t xml:space="preserve">ROI a 10 años</t>
  </si>
  <si>
    <t xml:space="preserve">ROI a 15 años</t>
  </si>
  <si>
    <t xml:space="preserve">Resultado neto acumulado a 10 años</t>
  </si>
  <si>
    <t xml:space="preserve">Notas: el recupero interpola el año exacto en que la caja acumulada cruza cero. Del desembolso, el stock inicial y la fianza son circulante recuperable (ver hoja Inversión). Si el franquiciado atiende la tienda, poné menos empleados contratados en Inputs: su retribución sale del resultado.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</si>
</sst>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€ &quot;#,##0;[RED]&quot;(€ &quot;#,##0\);\–"/>
    <numFmt numFmtId="166" formatCode="0.0%"/>
    <numFmt numFmtId="167" formatCode="0.0"/>
    <numFmt numFmtId="168" formatCode="0"/>
    <numFmt numFmtId="169" formatCode="0.00"/>
    <numFmt numFmtId="170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9"/>
      <color rgb="FF14355C"/>
      <name val="Arial"/>
      <family val="0"/>
      <charset val="1"/>
    </font>
    <font>
      <b val="true"/>
      <sz val="11"/>
      <color rgb="FF14355C"/>
      <name val="Arial"/>
      <family val="0"/>
      <charset val="1"/>
    </font>
    <font>
      <sz val="10"/>
      <name val="Arial"/>
      <family val="0"/>
      <charset val="1"/>
    </font>
    <font>
      <sz val="8.5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AAAAAA"/>
      <name val="Arial"/>
      <family val="0"/>
      <charset val="1"/>
    </font>
    <font>
      <i val="true"/>
      <sz val="8.5"/>
      <color rgb="FF555555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4355C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9E2D2"/>
        <bgColor rgb="FFDCE6F1"/>
      </patternFill>
    </fill>
    <fill>
      <patternFill patternType="solid">
        <fgColor rgb="FFDCE6F1"/>
        <bgColor rgb="FFE9E2D2"/>
      </patternFill>
    </fill>
    <fill>
      <patternFill patternType="solid">
        <fgColor rgb="FF2D5A8E"/>
        <bgColor rgb="FF555555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E9E2D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AAAAAA"/>
      <rgbColor rgb="FF14355C"/>
      <rgbColor rgb="FF339966"/>
      <rgbColor rgb="FF003300"/>
      <rgbColor rgb="FF333300"/>
      <rgbColor rgb="FF993300"/>
      <rgbColor rgb="FF993366"/>
      <rgbColor rgb="FF2D5A8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5" min="3" style="0" width="13"/>
    <col collapsed="false" customWidth="true" hidden="false" outlineLevel="0" max="6" min="6" style="0" width="48"/>
  </cols>
  <sheetData>
    <row r="1" customFormat="false" ht="17.35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42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15" hidden="false" customHeight="false" outlineLevel="0" collapsed="false">
      <c r="A4" s="4" t="s">
        <v>2</v>
      </c>
      <c r="B4" s="5" t="s">
        <v>3</v>
      </c>
      <c r="F4" s="6" t="s">
        <v>4</v>
      </c>
    </row>
    <row r="6" customFormat="false" ht="15" hidden="false" customHeight="false" outlineLevel="0" collapsed="false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</row>
    <row r="7" customFormat="false" ht="15" hidden="false" customHeight="false" outlineLevel="0" collapsed="false">
      <c r="A7" s="8" t="s">
        <v>11</v>
      </c>
      <c r="B7" s="9"/>
      <c r="C7" s="9"/>
      <c r="D7" s="9"/>
      <c r="E7" s="9"/>
      <c r="F7" s="9"/>
    </row>
    <row r="8" customFormat="false" ht="25.5" hidden="false" customHeight="true" outlineLevel="0" collapsed="false">
      <c r="A8" s="10" t="s">
        <v>12</v>
      </c>
      <c r="B8" s="11" t="n">
        <f aca="false">IF($E8&lt;&gt;"",$E8,IF($B$4="PT",$C8,$D8))</f>
        <v>26000</v>
      </c>
      <c r="C8" s="12" t="n">
        <v>26000</v>
      </c>
      <c r="D8" s="12" t="n">
        <v>26000</v>
      </c>
      <c r="E8" s="13"/>
      <c r="F8" s="14" t="s">
        <v>13</v>
      </c>
    </row>
    <row r="9" customFormat="false" ht="25.5" hidden="false" customHeight="true" outlineLevel="0" collapsed="false">
      <c r="A9" s="10" t="s">
        <v>14</v>
      </c>
      <c r="B9" s="11" t="n">
        <f aca="false">IF($E9&lt;&gt;"",$E9,IF($B$4="PT",$C9,$D9))</f>
        <v>2000</v>
      </c>
      <c r="C9" s="12" t="n">
        <v>2000</v>
      </c>
      <c r="D9" s="12" t="n">
        <v>2000</v>
      </c>
      <c r="E9" s="13"/>
      <c r="F9" s="14" t="s">
        <v>15</v>
      </c>
    </row>
    <row r="10" customFormat="false" ht="25.5" hidden="false" customHeight="true" outlineLevel="0" collapsed="false">
      <c r="A10" s="10" t="s">
        <v>16</v>
      </c>
      <c r="B10" s="11" t="n">
        <f aca="false">IF($E10&lt;&gt;"",$E10,IF($B$4="PT",$C10,$D10))</f>
        <v>0</v>
      </c>
      <c r="C10" s="12" t="n">
        <v>0</v>
      </c>
      <c r="D10" s="12" t="n">
        <v>0</v>
      </c>
      <c r="E10" s="13"/>
      <c r="F10" s="14" t="s">
        <v>17</v>
      </c>
    </row>
    <row r="11" customFormat="false" ht="25.5" hidden="false" customHeight="true" outlineLevel="0" collapsed="false">
      <c r="A11" s="10" t="s">
        <v>18</v>
      </c>
      <c r="B11" s="15" t="n">
        <f aca="false">IF($E11&lt;&gt;"",$E11,IF($B$4="PT",$C11,$D11))</f>
        <v>0.13</v>
      </c>
      <c r="C11" s="16" t="n">
        <v>0.13</v>
      </c>
      <c r="D11" s="16" t="n">
        <v>0.13</v>
      </c>
      <c r="E11" s="17"/>
      <c r="F11" s="14" t="s">
        <v>19</v>
      </c>
    </row>
    <row r="12" customFormat="false" ht="25.5" hidden="false" customHeight="true" outlineLevel="0" collapsed="false">
      <c r="A12" s="10" t="s">
        <v>20</v>
      </c>
      <c r="B12" s="15" t="n">
        <f aca="false">IF($E12&lt;&gt;"",$E12,IF($B$4="PT",$C12,$D12))</f>
        <v>0.2</v>
      </c>
      <c r="C12" s="16" t="n">
        <v>0.2</v>
      </c>
      <c r="D12" s="16" t="n">
        <v>0.2</v>
      </c>
      <c r="E12" s="17"/>
      <c r="F12" s="14" t="s">
        <v>21</v>
      </c>
    </row>
    <row r="13" customFormat="false" ht="25.5" hidden="false" customHeight="true" outlineLevel="0" collapsed="false">
      <c r="A13" s="10" t="s">
        <v>22</v>
      </c>
      <c r="B13" s="15" t="n">
        <f aca="false">IF($E13&lt;&gt;"",$E13,IF($B$4="PT",$C13,$D13))</f>
        <v>0.23</v>
      </c>
      <c r="C13" s="16" t="n">
        <v>0.23</v>
      </c>
      <c r="D13" s="16" t="n">
        <v>0.23</v>
      </c>
      <c r="E13" s="17"/>
      <c r="F13" s="14"/>
    </row>
    <row r="14" customFormat="false" ht="25.5" hidden="false" customHeight="true" outlineLevel="0" collapsed="false">
      <c r="A14" s="10" t="s">
        <v>23</v>
      </c>
      <c r="B14" s="15" t="n">
        <f aca="false">IF($E14&lt;&gt;"",$E14,IF($B$4="PT",$C14,$D14))</f>
        <v>0.6</v>
      </c>
      <c r="C14" s="16" t="n">
        <v>0.6</v>
      </c>
      <c r="D14" s="16" t="n">
        <v>0.6</v>
      </c>
      <c r="E14" s="17"/>
      <c r="F14" s="14" t="s">
        <v>24</v>
      </c>
    </row>
    <row r="15" customFormat="false" ht="25.5" hidden="false" customHeight="true" outlineLevel="0" collapsed="false">
      <c r="A15" s="10" t="s">
        <v>25</v>
      </c>
      <c r="B15" s="15" t="n">
        <f aca="false">IF($E15&lt;&gt;"",$E15,IF($B$4="PT",$C15,$D15))</f>
        <v>0.8</v>
      </c>
      <c r="C15" s="16" t="n">
        <v>0.8</v>
      </c>
      <c r="D15" s="16" t="n">
        <v>0.8</v>
      </c>
      <c r="E15" s="17"/>
      <c r="F15" s="14"/>
    </row>
    <row r="16" customFormat="false" ht="25.5" hidden="false" customHeight="true" outlineLevel="0" collapsed="false">
      <c r="A16" s="10" t="s">
        <v>26</v>
      </c>
      <c r="B16" s="15" t="n">
        <f aca="false">IF($E16&lt;&gt;"",$E16,IF($B$4="PT",$C16,$D16))</f>
        <v>0.95</v>
      </c>
      <c r="C16" s="16" t="n">
        <v>0.95</v>
      </c>
      <c r="D16" s="16" t="n">
        <v>0.95</v>
      </c>
      <c r="E16" s="17"/>
      <c r="F16" s="14"/>
    </row>
    <row r="17" customFormat="false" ht="25.5" hidden="false" customHeight="true" outlineLevel="0" collapsed="false">
      <c r="A17" s="10" t="s">
        <v>27</v>
      </c>
      <c r="B17" s="15" t="n">
        <f aca="false">IF($E17&lt;&gt;"",$E17,IF($B$4="PT",$C17,$D17))</f>
        <v>0.02</v>
      </c>
      <c r="C17" s="16" t="n">
        <v>0.02</v>
      </c>
      <c r="D17" s="16" t="n">
        <v>0.02</v>
      </c>
      <c r="E17" s="17"/>
      <c r="F17" s="14"/>
    </row>
    <row r="18" customFormat="false" ht="25.5" hidden="false" customHeight="true" outlineLevel="0" collapsed="false">
      <c r="A18" s="10" t="s">
        <v>28</v>
      </c>
      <c r="B18" s="15" t="n">
        <f aca="false">IF($E18&lt;&gt;"",$E18,IF($B$4="PT",$C18,$D18))</f>
        <v>0.3</v>
      </c>
      <c r="C18" s="16" t="n">
        <v>0.3</v>
      </c>
      <c r="D18" s="16" t="n">
        <v>0.3</v>
      </c>
      <c r="E18" s="17"/>
      <c r="F18" s="14" t="s">
        <v>29</v>
      </c>
    </row>
    <row r="19" customFormat="false" ht="15" hidden="false" customHeight="false" outlineLevel="0" collapsed="false">
      <c r="A19" s="8" t="s">
        <v>30</v>
      </c>
      <c r="B19" s="9"/>
      <c r="C19" s="9"/>
      <c r="D19" s="9"/>
      <c r="E19" s="9"/>
      <c r="F19" s="9"/>
    </row>
    <row r="20" customFormat="false" ht="25.5" hidden="false" customHeight="true" outlineLevel="0" collapsed="false">
      <c r="A20" s="10" t="s">
        <v>31</v>
      </c>
      <c r="B20" s="11" t="n">
        <f aca="false">IF($E20&lt;&gt;"",$E20,IF($B$4="PT",$C20,$D20))</f>
        <v>1700</v>
      </c>
      <c r="C20" s="12" t="n">
        <v>1700</v>
      </c>
      <c r="D20" s="12" t="n">
        <v>2400</v>
      </c>
      <c r="E20" s="13"/>
      <c r="F20" s="14" t="s">
        <v>32</v>
      </c>
    </row>
    <row r="21" customFormat="false" ht="25.5" hidden="false" customHeight="true" outlineLevel="0" collapsed="false">
      <c r="A21" s="10" t="s">
        <v>33</v>
      </c>
      <c r="B21" s="18" t="n">
        <f aca="false">IF($E21&lt;&gt;"",$E21,IF($B$4="PT",$C21,$D21))</f>
        <v>1</v>
      </c>
      <c r="C21" s="19" t="n">
        <v>1</v>
      </c>
      <c r="D21" s="19" t="n">
        <v>1</v>
      </c>
      <c r="E21" s="20"/>
      <c r="F21" s="14" t="s">
        <v>34</v>
      </c>
    </row>
    <row r="22" customFormat="false" ht="25.5" hidden="false" customHeight="true" outlineLevel="0" collapsed="false">
      <c r="A22" s="10" t="s">
        <v>35</v>
      </c>
      <c r="B22" s="11" t="n">
        <f aca="false">IF($E22&lt;&gt;"",$E22,IF($B$4="PT",$C22,$D22))</f>
        <v>1750</v>
      </c>
      <c r="C22" s="12" t="n">
        <v>1750</v>
      </c>
      <c r="D22" s="12" t="n">
        <v>2200</v>
      </c>
      <c r="E22" s="13"/>
      <c r="F22" s="14" t="s">
        <v>36</v>
      </c>
    </row>
    <row r="23" customFormat="false" ht="25.5" hidden="false" customHeight="true" outlineLevel="0" collapsed="false">
      <c r="A23" s="10" t="s">
        <v>37</v>
      </c>
      <c r="B23" s="11" t="n">
        <f aca="false">IF($E23&lt;&gt;"",$E23,IF($B$4="PT",$C23,$D23))</f>
        <v>350</v>
      </c>
      <c r="C23" s="12" t="n">
        <v>350</v>
      </c>
      <c r="D23" s="12" t="n">
        <v>350</v>
      </c>
      <c r="E23" s="13"/>
      <c r="F23" s="14" t="s">
        <v>38</v>
      </c>
    </row>
    <row r="24" customFormat="false" ht="25.5" hidden="false" customHeight="true" outlineLevel="0" collapsed="false">
      <c r="A24" s="10" t="s">
        <v>39</v>
      </c>
      <c r="B24" s="11" t="n">
        <f aca="false">IF($E24&lt;&gt;"",$E24,IF($B$4="PT",$C24,$D24))</f>
        <v>250</v>
      </c>
      <c r="C24" s="12" t="n">
        <v>250</v>
      </c>
      <c r="D24" s="12" t="n">
        <v>200</v>
      </c>
      <c r="E24" s="13"/>
      <c r="F24" s="14"/>
    </row>
    <row r="25" customFormat="false" ht="25.5" hidden="false" customHeight="true" outlineLevel="0" collapsed="false">
      <c r="A25" s="10" t="s">
        <v>40</v>
      </c>
      <c r="B25" s="11" t="n">
        <f aca="false">IF($E25&lt;&gt;"",$E25,IF($B$4="PT",$C25,$D25))</f>
        <v>150</v>
      </c>
      <c r="C25" s="12" t="n">
        <v>150</v>
      </c>
      <c r="D25" s="12" t="n">
        <v>150</v>
      </c>
      <c r="E25" s="13"/>
      <c r="F25" s="14"/>
    </row>
    <row r="26" customFormat="false" ht="25.5" hidden="false" customHeight="true" outlineLevel="0" collapsed="false">
      <c r="A26" s="10" t="s">
        <v>41</v>
      </c>
      <c r="B26" s="11" t="n">
        <f aca="false">IF($E26&lt;&gt;"",$E26,IF($B$4="PT",$C26,$D26))</f>
        <v>120</v>
      </c>
      <c r="C26" s="12" t="n">
        <v>120</v>
      </c>
      <c r="D26" s="12" t="n">
        <v>120</v>
      </c>
      <c r="E26" s="13"/>
      <c r="F26" s="14" t="s">
        <v>42</v>
      </c>
    </row>
    <row r="27" customFormat="false" ht="25.5" hidden="false" customHeight="true" outlineLevel="0" collapsed="false">
      <c r="A27" s="10" t="s">
        <v>43</v>
      </c>
      <c r="B27" s="15" t="n">
        <f aca="false">IF($E27&lt;&gt;"",$E27,IF($B$4="PT",$C27,$D27))</f>
        <v>0.01</v>
      </c>
      <c r="C27" s="16" t="n">
        <v>0.01</v>
      </c>
      <c r="D27" s="16" t="n">
        <v>0.01</v>
      </c>
      <c r="E27" s="17"/>
      <c r="F27" s="14" t="s">
        <v>44</v>
      </c>
    </row>
    <row r="28" customFormat="false" ht="25.5" hidden="false" customHeight="true" outlineLevel="0" collapsed="false">
      <c r="A28" s="10" t="s">
        <v>45</v>
      </c>
      <c r="B28" s="15" t="n">
        <f aca="false">IF($E28&lt;&gt;"",$E28,IF($B$4="PT",$C28,$D28))</f>
        <v>0.009</v>
      </c>
      <c r="C28" s="16" t="n">
        <v>0.009</v>
      </c>
      <c r="D28" s="16" t="n">
        <v>0.009</v>
      </c>
      <c r="E28" s="17"/>
      <c r="F28" s="14" t="s">
        <v>46</v>
      </c>
    </row>
    <row r="29" customFormat="false" ht="25.5" hidden="false" customHeight="true" outlineLevel="0" collapsed="false">
      <c r="A29" s="10" t="s">
        <v>47</v>
      </c>
      <c r="B29" s="15" t="n">
        <f aca="false">IF($E29&lt;&gt;"",$E29,IF($B$4="PT",$C29,$D29))</f>
        <v>0.025</v>
      </c>
      <c r="C29" s="16" t="n">
        <v>0.025</v>
      </c>
      <c r="D29" s="16" t="n">
        <v>0.025</v>
      </c>
      <c r="E29" s="17"/>
      <c r="F29" s="14" t="s">
        <v>48</v>
      </c>
    </row>
    <row r="30" customFormat="false" ht="15" hidden="false" customHeight="false" outlineLevel="0" collapsed="false">
      <c r="A30" s="8" t="s">
        <v>49</v>
      </c>
      <c r="B30" s="9"/>
      <c r="C30" s="9"/>
      <c r="D30" s="9"/>
      <c r="E30" s="9"/>
      <c r="F30" s="9"/>
    </row>
    <row r="31" customFormat="false" ht="25.5" hidden="false" customHeight="true" outlineLevel="0" collapsed="false">
      <c r="A31" s="10" t="s">
        <v>50</v>
      </c>
      <c r="B31" s="11" t="n">
        <f aca="false">IF($E31&lt;&gt;"",$E31,IF($B$4="PT",$C31,$D31))</f>
        <v>25000</v>
      </c>
      <c r="C31" s="12" t="n">
        <v>25000</v>
      </c>
      <c r="D31" s="12" t="n">
        <v>25000</v>
      </c>
      <c r="E31" s="13"/>
      <c r="F31" s="14" t="s">
        <v>51</v>
      </c>
    </row>
    <row r="32" customFormat="false" ht="25.5" hidden="false" customHeight="true" outlineLevel="0" collapsed="false">
      <c r="A32" s="10" t="s">
        <v>52</v>
      </c>
      <c r="B32" s="11" t="n">
        <f aca="false">IF($E32&lt;&gt;"",$E32,IF($B$4="PT",$C32,$D32))</f>
        <v>30000</v>
      </c>
      <c r="C32" s="12" t="n">
        <v>30000</v>
      </c>
      <c r="D32" s="12" t="n">
        <v>30000</v>
      </c>
      <c r="E32" s="13"/>
      <c r="F32" s="14"/>
    </row>
    <row r="33" customFormat="false" ht="25.5" hidden="false" customHeight="true" outlineLevel="0" collapsed="false">
      <c r="A33" s="10" t="s">
        <v>53</v>
      </c>
      <c r="B33" s="15" t="n">
        <f aca="false">IF($E33&lt;&gt;"",$E33,IF($B$4="PT",$C33,$D33))</f>
        <v>0.015</v>
      </c>
      <c r="C33" s="16" t="n">
        <v>0.015</v>
      </c>
      <c r="D33" s="16" t="n">
        <v>0.015</v>
      </c>
      <c r="E33" s="17"/>
      <c r="F33" s="14"/>
    </row>
    <row r="34" customFormat="false" ht="25.5" hidden="false" customHeight="true" outlineLevel="0" collapsed="false">
      <c r="A34" s="10" t="s">
        <v>54</v>
      </c>
      <c r="B34" s="15" t="n">
        <f aca="false">IF($E34&lt;&gt;"",$E34,IF($B$4="PT",$C34,$D34))</f>
        <v>0.03</v>
      </c>
      <c r="C34" s="16" t="n">
        <v>0.03</v>
      </c>
      <c r="D34" s="16" t="n">
        <v>0.03</v>
      </c>
      <c r="E34" s="17"/>
      <c r="F34" s="14"/>
    </row>
    <row r="35" customFormat="false" ht="25.5" hidden="false" customHeight="true" outlineLevel="0" collapsed="false">
      <c r="A35" s="10" t="s">
        <v>55</v>
      </c>
      <c r="B35" s="15" t="n">
        <f aca="false">IF($E35&lt;&gt;"",$E35,IF($B$4="PT",$C35,$D35))</f>
        <v>0.01</v>
      </c>
      <c r="C35" s="16" t="n">
        <v>0.01</v>
      </c>
      <c r="D35" s="16" t="n">
        <v>0.01</v>
      </c>
      <c r="E35" s="17"/>
      <c r="F35" s="14"/>
    </row>
    <row r="36" customFormat="false" ht="15" hidden="false" customHeight="false" outlineLevel="0" collapsed="false">
      <c r="A36" s="8" t="s">
        <v>56</v>
      </c>
      <c r="B36" s="9"/>
      <c r="C36" s="9"/>
      <c r="D36" s="9"/>
      <c r="E36" s="9"/>
      <c r="F36" s="9"/>
    </row>
    <row r="37" customFormat="false" ht="25.5" hidden="false" customHeight="true" outlineLevel="0" collapsed="false">
      <c r="A37" s="10" t="s">
        <v>57</v>
      </c>
      <c r="B37" s="15" t="n">
        <f aca="false">IF($E37&lt;&gt;"",$E37,IF($B$4="PT",$C37,$D37))</f>
        <v>0.17</v>
      </c>
      <c r="C37" s="16" t="n">
        <v>0.17</v>
      </c>
      <c r="D37" s="16" t="n">
        <v>0.21</v>
      </c>
      <c r="E37" s="17"/>
      <c r="F37" s="14" t="s">
        <v>58</v>
      </c>
    </row>
    <row r="38" customFormat="false" ht="25.5" hidden="false" customHeight="true" outlineLevel="0" collapsed="false">
      <c r="A38" s="10" t="s">
        <v>59</v>
      </c>
      <c r="B38" s="21" t="n">
        <f aca="false">IF($E38&lt;&gt;"",$E38,IF($B$4="PT",$C38,$D38))</f>
        <v>8</v>
      </c>
      <c r="C38" s="22" t="n">
        <v>8</v>
      </c>
      <c r="D38" s="22" t="n">
        <v>8</v>
      </c>
      <c r="E38" s="23"/>
      <c r="F38" s="14"/>
    </row>
  </sheetData>
  <mergeCells count="1">
    <mergeCell ref="A2:F2"/>
  </mergeCells>
  <dataValidations count="1">
    <dataValidation allowBlank="false" errorStyle="stop" operator="between" showDropDown="false" showErrorMessage="false" showInputMessage="false" sqref="B4" type="list">
      <formula1>"PT,ES"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54"/>
  </cols>
  <sheetData>
    <row r="1" customFormat="false" ht="17.35" hidden="false" customHeight="false" outlineLevel="0" collapsed="false">
      <c r="A1" s="1" t="s">
        <v>60</v>
      </c>
      <c r="B1" s="2"/>
      <c r="C1" s="2"/>
      <c r="D1" s="2"/>
    </row>
    <row r="2" customFormat="false" ht="39.75" hidden="false" customHeight="true" outlineLevel="0" collapsed="false">
      <c r="A2" s="3" t="s">
        <v>61</v>
      </c>
      <c r="B2" s="3"/>
      <c r="C2" s="3"/>
      <c r="D2" s="3"/>
    </row>
    <row r="4" customFormat="false" ht="15" hidden="false" customHeight="false" outlineLevel="0" collapsed="false">
      <c r="A4" s="7" t="s">
        <v>62</v>
      </c>
      <c r="B4" s="7" t="s">
        <v>63</v>
      </c>
      <c r="C4" s="7" t="s">
        <v>64</v>
      </c>
      <c r="D4" s="7" t="s">
        <v>10</v>
      </c>
    </row>
    <row r="5" customFormat="false" ht="24" hidden="false" customHeight="true" outlineLevel="0" collapsed="false">
      <c r="A5" s="24" t="s">
        <v>65</v>
      </c>
      <c r="B5" s="13" t="n">
        <v>14500</v>
      </c>
      <c r="C5" s="25" t="s">
        <v>66</v>
      </c>
      <c r="D5" s="26" t="s">
        <v>67</v>
      </c>
    </row>
    <row r="6" customFormat="false" ht="24" hidden="false" customHeight="true" outlineLevel="0" collapsed="false">
      <c r="A6" s="24" t="s">
        <v>68</v>
      </c>
      <c r="B6" s="13" t="n">
        <v>15750</v>
      </c>
      <c r="C6" s="25" t="s">
        <v>66</v>
      </c>
      <c r="D6" s="26" t="s">
        <v>69</v>
      </c>
    </row>
    <row r="7" customFormat="false" ht="24" hidden="false" customHeight="true" outlineLevel="0" collapsed="false">
      <c r="A7" s="24" t="s">
        <v>70</v>
      </c>
      <c r="B7" s="13" t="n">
        <v>7000</v>
      </c>
      <c r="C7" s="25" t="s">
        <v>66</v>
      </c>
      <c r="D7" s="26" t="s">
        <v>71</v>
      </c>
    </row>
    <row r="8" customFormat="false" ht="24" hidden="false" customHeight="true" outlineLevel="0" collapsed="false">
      <c r="A8" s="24" t="s">
        <v>72</v>
      </c>
      <c r="B8" s="13" t="n">
        <v>2200</v>
      </c>
      <c r="C8" s="25" t="s">
        <v>66</v>
      </c>
      <c r="D8" s="26" t="s">
        <v>73</v>
      </c>
    </row>
    <row r="9" customFormat="false" ht="24" hidden="false" customHeight="true" outlineLevel="0" collapsed="false">
      <c r="A9" s="24" t="s">
        <v>74</v>
      </c>
      <c r="B9" s="13" t="n">
        <v>2500</v>
      </c>
      <c r="C9" s="25" t="s">
        <v>66</v>
      </c>
      <c r="D9" s="26"/>
    </row>
    <row r="10" customFormat="false" ht="24" hidden="false" customHeight="true" outlineLevel="0" collapsed="false">
      <c r="A10" s="24" t="s">
        <v>75</v>
      </c>
      <c r="B10" s="13" t="n">
        <v>900</v>
      </c>
      <c r="C10" s="25" t="s">
        <v>76</v>
      </c>
      <c r="D10" s="26"/>
    </row>
    <row r="11" customFormat="false" ht="24" hidden="false" customHeight="true" outlineLevel="0" collapsed="false">
      <c r="A11" s="24" t="s">
        <v>77</v>
      </c>
      <c r="B11" s="13" t="n">
        <v>10000</v>
      </c>
      <c r="C11" s="25" t="s">
        <v>66</v>
      </c>
      <c r="D11" s="26" t="s">
        <v>78</v>
      </c>
    </row>
    <row r="12" customFormat="false" ht="24" hidden="false" customHeight="true" outlineLevel="0" collapsed="false">
      <c r="A12" s="24" t="s">
        <v>79</v>
      </c>
      <c r="B12" s="13" t="n">
        <v>5100</v>
      </c>
      <c r="C12" s="25" t="s">
        <v>76</v>
      </c>
      <c r="D12" s="26" t="s">
        <v>80</v>
      </c>
    </row>
    <row r="13" customFormat="false" ht="24" hidden="false" customHeight="true" outlineLevel="0" collapsed="false">
      <c r="A13" s="24" t="s">
        <v>81</v>
      </c>
      <c r="B13" s="13" t="n">
        <v>8000</v>
      </c>
      <c r="C13" s="25" t="s">
        <v>76</v>
      </c>
      <c r="D13" s="26" t="s">
        <v>82</v>
      </c>
    </row>
    <row r="14" customFormat="false" ht="24" hidden="false" customHeight="true" outlineLevel="0" collapsed="false">
      <c r="A14" s="24" t="s">
        <v>83</v>
      </c>
      <c r="B14" s="13" t="n">
        <v>1200</v>
      </c>
      <c r="C14" s="25" t="s">
        <v>76</v>
      </c>
      <c r="D14" s="26"/>
    </row>
    <row r="15" customFormat="false" ht="24" hidden="false" customHeight="true" outlineLevel="0" collapsed="false">
      <c r="A15" s="24" t="s">
        <v>84</v>
      </c>
      <c r="B15" s="13" t="n">
        <v>2800</v>
      </c>
      <c r="C15" s="25" t="s">
        <v>76</v>
      </c>
      <c r="D15" s="26"/>
    </row>
    <row r="16" customFormat="false" ht="24" hidden="false" customHeight="true" outlineLevel="0" collapsed="false">
      <c r="A16" s="24" t="s">
        <v>85</v>
      </c>
      <c r="B16" s="13" t="n">
        <v>5000</v>
      </c>
      <c r="C16" s="25" t="s">
        <v>76</v>
      </c>
      <c r="D16" s="26" t="s">
        <v>86</v>
      </c>
    </row>
    <row r="17" customFormat="false" ht="15" hidden="false" customHeight="false" outlineLevel="0" collapsed="false">
      <c r="A17" s="27" t="s">
        <v>87</v>
      </c>
      <c r="B17" s="28" t="n">
        <f aca="false">SUM(B5:B16)</f>
        <v>74950</v>
      </c>
      <c r="C17" s="29"/>
      <c r="D17" s="29"/>
    </row>
    <row r="18" customFormat="false" ht="15" hidden="false" customHeight="false" outlineLevel="0" collapsed="false">
      <c r="A18" s="30" t="s">
        <v>88</v>
      </c>
      <c r="B18" s="31" t="n">
        <f aca="false">SUMIF(C5:C16,"S",B5:B16)</f>
        <v>51950</v>
      </c>
    </row>
    <row r="19" customFormat="false" ht="15" hidden="false" customHeight="false" outlineLevel="0" collapsed="false">
      <c r="A19" s="30" t="s">
        <v>89</v>
      </c>
      <c r="B19" s="31" t="n">
        <f aca="false">B12+B13</f>
        <v>13100</v>
      </c>
    </row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16" min="2" style="0" width="12.5"/>
  </cols>
  <sheetData>
    <row r="1" customFormat="false" ht="17.35" hidden="false" customHeight="false" outlineLevel="0" collapsed="false">
      <c r="A1" s="1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false" outlineLevel="0" collapsed="false">
      <c r="A2" s="32" t="s">
        <v>91</v>
      </c>
    </row>
    <row r="4" customFormat="false" ht="15" hidden="false" customHeight="false" outlineLevel="0" collapsed="false">
      <c r="B4" s="33" t="s">
        <v>92</v>
      </c>
      <c r="C4" s="33" t="s">
        <v>93</v>
      </c>
      <c r="D4" s="33" t="s">
        <v>94</v>
      </c>
      <c r="E4" s="33" t="s">
        <v>95</v>
      </c>
      <c r="F4" s="33" t="s">
        <v>96</v>
      </c>
      <c r="G4" s="33" t="s">
        <v>97</v>
      </c>
      <c r="H4" s="33" t="s">
        <v>98</v>
      </c>
      <c r="I4" s="33" t="s">
        <v>99</v>
      </c>
      <c r="J4" s="33" t="s">
        <v>100</v>
      </c>
      <c r="K4" s="33" t="s">
        <v>101</v>
      </c>
      <c r="L4" s="33" t="s">
        <v>102</v>
      </c>
      <c r="M4" s="33" t="s">
        <v>103</v>
      </c>
      <c r="N4" s="33" t="s">
        <v>104</v>
      </c>
      <c r="O4" s="33" t="s">
        <v>105</v>
      </c>
      <c r="P4" s="33" t="s">
        <v>106</v>
      </c>
    </row>
    <row r="5" customFormat="false" ht="15" hidden="false" customHeight="false" outlineLevel="0" collapsed="false">
      <c r="A5" s="30" t="s">
        <v>107</v>
      </c>
      <c r="B5" s="34" t="n">
        <f aca="false">Inputs!$B$14</f>
        <v>0.6</v>
      </c>
      <c r="C5" s="34" t="n">
        <f aca="false">Inputs!$B$15</f>
        <v>0.8</v>
      </c>
      <c r="D5" s="34" t="n">
        <f aca="false">Inputs!$B$16</f>
        <v>0.95</v>
      </c>
      <c r="E5" s="34" t="n">
        <f aca="false">1</f>
        <v>1</v>
      </c>
      <c r="F5" s="34" t="n">
        <f aca="false">E5*(1+Inputs!$B$17)</f>
        <v>1.02</v>
      </c>
      <c r="G5" s="34" t="n">
        <f aca="false">F5*(1+Inputs!$B$17)</f>
        <v>1.0404</v>
      </c>
      <c r="H5" s="34" t="n">
        <f aca="false">G5*(1+Inputs!$B$17)</f>
        <v>1.061208</v>
      </c>
      <c r="I5" s="34" t="n">
        <f aca="false">H5*(1+Inputs!$B$17)</f>
        <v>1.08243216</v>
      </c>
      <c r="J5" s="34" t="n">
        <f aca="false">I5*(1+Inputs!$B$17)</f>
        <v>1.1040808032</v>
      </c>
      <c r="K5" s="34" t="n">
        <f aca="false">J5*(1+Inputs!$B$17)</f>
        <v>1.126162419264</v>
      </c>
      <c r="L5" s="34" t="n">
        <f aca="false">K5*(1+Inputs!$B$17)</f>
        <v>1.14868566764928</v>
      </c>
      <c r="M5" s="34" t="n">
        <f aca="false">L5*(1+Inputs!$B$17)</f>
        <v>1.17165938100227</v>
      </c>
      <c r="N5" s="34" t="n">
        <f aca="false">M5*(1+Inputs!$B$17)</f>
        <v>1.19509256862231</v>
      </c>
      <c r="O5" s="34" t="n">
        <f aca="false">N5*(1+Inputs!$B$17)</f>
        <v>1.21899441999476</v>
      </c>
      <c r="P5" s="34" t="n">
        <f aca="false">O5*(1+Inputs!$B$17)</f>
        <v>1.24337430839465</v>
      </c>
    </row>
    <row r="6" customFormat="false" ht="15" hidden="false" customHeight="false" outlineLevel="0" collapsed="false">
      <c r="A6" s="30" t="s">
        <v>108</v>
      </c>
      <c r="B6" s="35" t="n">
        <f aca="false">1</f>
        <v>1</v>
      </c>
      <c r="C6" s="35" t="n">
        <f aca="false">B6*(1+Inputs!$B$29)</f>
        <v>1.025</v>
      </c>
      <c r="D6" s="35" t="n">
        <f aca="false">C6*(1+Inputs!$B$29)</f>
        <v>1.050625</v>
      </c>
      <c r="E6" s="35" t="n">
        <f aca="false">D6*(1+Inputs!$B$29)</f>
        <v>1.076890625</v>
      </c>
      <c r="F6" s="35" t="n">
        <f aca="false">E6*(1+Inputs!$B$29)</f>
        <v>1.103812890625</v>
      </c>
      <c r="G6" s="35" t="n">
        <f aca="false">F6*(1+Inputs!$B$29)</f>
        <v>1.13140821289062</v>
      </c>
      <c r="H6" s="35" t="n">
        <f aca="false">G6*(1+Inputs!$B$29)</f>
        <v>1.15969341821289</v>
      </c>
      <c r="I6" s="35" t="n">
        <f aca="false">H6*(1+Inputs!$B$29)</f>
        <v>1.18868575366821</v>
      </c>
      <c r="J6" s="35" t="n">
        <f aca="false">I6*(1+Inputs!$B$29)</f>
        <v>1.21840289750992</v>
      </c>
      <c r="K6" s="35" t="n">
        <f aca="false">J6*(1+Inputs!$B$29)</f>
        <v>1.24886296994767</v>
      </c>
      <c r="L6" s="35" t="n">
        <f aca="false">K6*(1+Inputs!$B$29)</f>
        <v>1.28008454419636</v>
      </c>
      <c r="M6" s="35" t="n">
        <f aca="false">L6*(1+Inputs!$B$29)</f>
        <v>1.31208665780127</v>
      </c>
      <c r="N6" s="35" t="n">
        <f aca="false">M6*(1+Inputs!$B$29)</f>
        <v>1.3448888242463</v>
      </c>
      <c r="O6" s="35" t="n">
        <f aca="false">N6*(1+Inputs!$B$29)</f>
        <v>1.37851104485245</v>
      </c>
      <c r="P6" s="35" t="n">
        <f aca="false">O6*(1+Inputs!$B$29)</f>
        <v>1.41297382097377</v>
      </c>
    </row>
    <row r="8" customFormat="false" ht="15" hidden="false" customHeight="false" outlineLevel="0" collapsed="false">
      <c r="A8" s="4" t="s">
        <v>109</v>
      </c>
      <c r="B8" s="36" t="n">
        <f aca="false">Inputs!$B$8*12*B5</f>
        <v>187200</v>
      </c>
      <c r="C8" s="36" t="n">
        <f aca="false">Inputs!$B$8*12*C5</f>
        <v>249600</v>
      </c>
      <c r="D8" s="36" t="n">
        <f aca="false">Inputs!$B$8*12*D5</f>
        <v>296400</v>
      </c>
      <c r="E8" s="36" t="n">
        <f aca="false">Inputs!$B$8*12*E5</f>
        <v>312000</v>
      </c>
      <c r="F8" s="36" t="n">
        <f aca="false">Inputs!$B$8*12*F5</f>
        <v>318240</v>
      </c>
      <c r="G8" s="36" t="n">
        <f aca="false">Inputs!$B$8*12*G5</f>
        <v>324604.8</v>
      </c>
      <c r="H8" s="36" t="n">
        <f aca="false">Inputs!$B$8*12*H5</f>
        <v>331096.896</v>
      </c>
      <c r="I8" s="36" t="n">
        <f aca="false">Inputs!$B$8*12*I5</f>
        <v>337718.83392</v>
      </c>
      <c r="J8" s="36" t="n">
        <f aca="false">Inputs!$B$8*12*J5</f>
        <v>344473.2105984</v>
      </c>
      <c r="K8" s="36" t="n">
        <f aca="false">Inputs!$B$8*12*K5</f>
        <v>351362.674810368</v>
      </c>
      <c r="L8" s="36" t="n">
        <f aca="false">Inputs!$B$8*12*L5</f>
        <v>358389.928306575</v>
      </c>
      <c r="M8" s="36" t="n">
        <f aca="false">Inputs!$B$8*12*M5</f>
        <v>365557.726872707</v>
      </c>
      <c r="N8" s="36" t="n">
        <f aca="false">Inputs!$B$8*12*N5</f>
        <v>372868.881410161</v>
      </c>
      <c r="O8" s="36" t="n">
        <f aca="false">Inputs!$B$8*12*O5</f>
        <v>380326.259038364</v>
      </c>
      <c r="P8" s="36" t="n">
        <f aca="false">Inputs!$B$8*12*P5</f>
        <v>387932.784219132</v>
      </c>
    </row>
    <row r="9" customFormat="false" ht="15" hidden="false" customHeight="false" outlineLevel="0" collapsed="false">
      <c r="A9" s="30" t="s">
        <v>110</v>
      </c>
      <c r="B9" s="37" t="n">
        <f aca="false">Inputs!$B$9*12*B5</f>
        <v>14400</v>
      </c>
      <c r="C9" s="37" t="n">
        <f aca="false">Inputs!$B$9*12*C5</f>
        <v>19200</v>
      </c>
      <c r="D9" s="37" t="n">
        <f aca="false">Inputs!$B$9*12*D5</f>
        <v>22800</v>
      </c>
      <c r="E9" s="37" t="n">
        <f aca="false">Inputs!$B$9*12*E5</f>
        <v>24000</v>
      </c>
      <c r="F9" s="37" t="n">
        <f aca="false">Inputs!$B$9*12*F5</f>
        <v>24480</v>
      </c>
      <c r="G9" s="37" t="n">
        <f aca="false">Inputs!$B$9*12*G5</f>
        <v>24969.6</v>
      </c>
      <c r="H9" s="37" t="n">
        <f aca="false">Inputs!$B$9*12*H5</f>
        <v>25468.992</v>
      </c>
      <c r="I9" s="37" t="n">
        <f aca="false">Inputs!$B$9*12*I5</f>
        <v>25978.37184</v>
      </c>
      <c r="J9" s="37" t="n">
        <f aca="false">Inputs!$B$9*12*J5</f>
        <v>26497.9392768</v>
      </c>
      <c r="K9" s="37" t="n">
        <f aca="false">Inputs!$B$9*12*K5</f>
        <v>27027.898062336</v>
      </c>
      <c r="L9" s="37" t="n">
        <f aca="false">Inputs!$B$9*12*L5</f>
        <v>27568.4560235827</v>
      </c>
      <c r="M9" s="37" t="n">
        <f aca="false">Inputs!$B$9*12*M5</f>
        <v>28119.8251440544</v>
      </c>
      <c r="N9" s="37" t="n">
        <f aca="false">Inputs!$B$9*12*N5</f>
        <v>28682.2216469355</v>
      </c>
      <c r="O9" s="37" t="n">
        <f aca="false">Inputs!$B$9*12*O5</f>
        <v>29255.8660798742</v>
      </c>
      <c r="P9" s="37" t="n">
        <f aca="false">Inputs!$B$9*12*P5</f>
        <v>29840.9834014717</v>
      </c>
    </row>
    <row r="10" customFormat="false" ht="15" hidden="false" customHeight="false" outlineLevel="0" collapsed="false">
      <c r="A10" s="30" t="s">
        <v>111</v>
      </c>
      <c r="B10" s="37" t="n">
        <f aca="false">Inputs!$B$10*12*B5</f>
        <v>0</v>
      </c>
      <c r="C10" s="37" t="n">
        <f aca="false">Inputs!$B$10*12*C5</f>
        <v>0</v>
      </c>
      <c r="D10" s="37" t="n">
        <f aca="false">Inputs!$B$10*12*D5</f>
        <v>0</v>
      </c>
      <c r="E10" s="37" t="n">
        <f aca="false">Inputs!$B$10*12*E5</f>
        <v>0</v>
      </c>
      <c r="F10" s="37" t="n">
        <f aca="false">Inputs!$B$10*12*F5</f>
        <v>0</v>
      </c>
      <c r="G10" s="37" t="n">
        <f aca="false">Inputs!$B$10*12*G5</f>
        <v>0</v>
      </c>
      <c r="H10" s="37" t="n">
        <f aca="false">Inputs!$B$10*12*H5</f>
        <v>0</v>
      </c>
      <c r="I10" s="37" t="n">
        <f aca="false">Inputs!$B$10*12*I5</f>
        <v>0</v>
      </c>
      <c r="J10" s="37" t="n">
        <f aca="false">Inputs!$B$10*12*J5</f>
        <v>0</v>
      </c>
      <c r="K10" s="37" t="n">
        <f aca="false">Inputs!$B$10*12*K5</f>
        <v>0</v>
      </c>
      <c r="L10" s="37" t="n">
        <f aca="false">Inputs!$B$10*12*L5</f>
        <v>0</v>
      </c>
      <c r="M10" s="37" t="n">
        <f aca="false">Inputs!$B$10*12*M5</f>
        <v>0</v>
      </c>
      <c r="N10" s="37" t="n">
        <f aca="false">Inputs!$B$10*12*N5</f>
        <v>0</v>
      </c>
      <c r="O10" s="37" t="n">
        <f aca="false">Inputs!$B$10*12*O5</f>
        <v>0</v>
      </c>
      <c r="P10" s="37" t="n">
        <f aca="false">Inputs!$B$10*12*P5</f>
        <v>0</v>
      </c>
    </row>
    <row r="11" customFormat="false" ht="15" hidden="false" customHeight="false" outlineLevel="0" collapsed="false">
      <c r="A11" s="27" t="s">
        <v>112</v>
      </c>
      <c r="B11" s="38" t="n">
        <f aca="false">B8+B9+B10</f>
        <v>201600</v>
      </c>
      <c r="C11" s="38" t="n">
        <f aca="false">C8+C9+C10</f>
        <v>268800</v>
      </c>
      <c r="D11" s="38" t="n">
        <f aca="false">D8+D9+D10</f>
        <v>319200</v>
      </c>
      <c r="E11" s="38" t="n">
        <f aca="false">E8+E9+E10</f>
        <v>336000</v>
      </c>
      <c r="F11" s="38" t="n">
        <f aca="false">F8+F9+F10</f>
        <v>342720</v>
      </c>
      <c r="G11" s="38" t="n">
        <f aca="false">G8+G9+G10</f>
        <v>349574.4</v>
      </c>
      <c r="H11" s="38" t="n">
        <f aca="false">H8+H9+H10</f>
        <v>356565.888</v>
      </c>
      <c r="I11" s="38" t="n">
        <f aca="false">I8+I9+I10</f>
        <v>363697.20576</v>
      </c>
      <c r="J11" s="38" t="n">
        <f aca="false">J8+J9+J10</f>
        <v>370971.1498752</v>
      </c>
      <c r="K11" s="38" t="n">
        <f aca="false">K8+K9+K10</f>
        <v>378390.572872704</v>
      </c>
      <c r="L11" s="38" t="n">
        <f aca="false">L8+L9+L10</f>
        <v>385958.384330158</v>
      </c>
      <c r="M11" s="38" t="n">
        <f aca="false">M8+M9+M10</f>
        <v>393677.552016761</v>
      </c>
      <c r="N11" s="38" t="n">
        <f aca="false">N8+N9+N10</f>
        <v>401551.103057097</v>
      </c>
      <c r="O11" s="38" t="n">
        <f aca="false">O8+O9+O10</f>
        <v>409582.125118238</v>
      </c>
      <c r="P11" s="38" t="n">
        <f aca="false">P8+P9+P10</f>
        <v>417773.767620603</v>
      </c>
    </row>
    <row r="12" customFormat="false" ht="15" hidden="false" customHeight="false" outlineLevel="0" collapsed="false">
      <c r="A12" s="30" t="s">
        <v>113</v>
      </c>
      <c r="B12" s="37" t="n">
        <f aca="false">-B8*(1-Inputs!$B$18)</f>
        <v>-131040</v>
      </c>
      <c r="C12" s="37" t="n">
        <f aca="false">-C8*(1-Inputs!$B$18)</f>
        <v>-174720</v>
      </c>
      <c r="D12" s="37" t="n">
        <f aca="false">-D8*(1-Inputs!$B$18)</f>
        <v>-207480</v>
      </c>
      <c r="E12" s="37" t="n">
        <f aca="false">-E8*(1-Inputs!$B$18)</f>
        <v>-218400</v>
      </c>
      <c r="F12" s="37" t="n">
        <f aca="false">-F8*(1-Inputs!$B$18)</f>
        <v>-222768</v>
      </c>
      <c r="G12" s="37" t="n">
        <f aca="false">-G8*(1-Inputs!$B$18)</f>
        <v>-227223.36</v>
      </c>
      <c r="H12" s="37" t="n">
        <f aca="false">-H8*(1-Inputs!$B$18)</f>
        <v>-231767.8272</v>
      </c>
      <c r="I12" s="37" t="n">
        <f aca="false">-I8*(1-Inputs!$B$18)</f>
        <v>-236403.183744</v>
      </c>
      <c r="J12" s="37" t="n">
        <f aca="false">-J8*(1-Inputs!$B$18)</f>
        <v>-241131.24741888</v>
      </c>
      <c r="K12" s="37" t="n">
        <f aca="false">-K8*(1-Inputs!$B$18)</f>
        <v>-245953.872367258</v>
      </c>
      <c r="L12" s="37" t="n">
        <f aca="false">-L8*(1-Inputs!$B$18)</f>
        <v>-250872.949814603</v>
      </c>
      <c r="M12" s="37" t="n">
        <f aca="false">-M8*(1-Inputs!$B$18)</f>
        <v>-255890.408810895</v>
      </c>
      <c r="N12" s="37" t="n">
        <f aca="false">-N8*(1-Inputs!$B$18)</f>
        <v>-261008.216987113</v>
      </c>
      <c r="O12" s="37" t="n">
        <f aca="false">-O8*(1-Inputs!$B$18)</f>
        <v>-266228.381326855</v>
      </c>
      <c r="P12" s="37" t="n">
        <f aca="false">-P8*(1-Inputs!$B$18)</f>
        <v>-271552.948953392</v>
      </c>
    </row>
    <row r="13" customFormat="false" ht="15" hidden="false" customHeight="false" outlineLevel="0" collapsed="false">
      <c r="A13" s="30" t="s">
        <v>114</v>
      </c>
      <c r="B13" s="37" t="n">
        <f aca="false">-B9*((1-Inputs!$B$18)/(1+Inputs!$B$12)+Inputs!$B$13)</f>
        <v>-11712</v>
      </c>
      <c r="C13" s="37" t="n">
        <f aca="false">-C9*((1-Inputs!$B$18)/(1+Inputs!$B$12)+Inputs!$B$13)</f>
        <v>-15616</v>
      </c>
      <c r="D13" s="37" t="n">
        <f aca="false">-D9*((1-Inputs!$B$18)/(1+Inputs!$B$12)+Inputs!$B$13)</f>
        <v>-18544</v>
      </c>
      <c r="E13" s="37" t="n">
        <f aca="false">-E9*((1-Inputs!$B$18)/(1+Inputs!$B$12)+Inputs!$B$13)</f>
        <v>-19520</v>
      </c>
      <c r="F13" s="37" t="n">
        <f aca="false">-F9*((1-Inputs!$B$18)/(1+Inputs!$B$12)+Inputs!$B$13)</f>
        <v>-19910.4</v>
      </c>
      <c r="G13" s="37" t="n">
        <f aca="false">-G9*((1-Inputs!$B$18)/(1+Inputs!$B$12)+Inputs!$B$13)</f>
        <v>-20308.608</v>
      </c>
      <c r="H13" s="37" t="n">
        <f aca="false">-H9*((1-Inputs!$B$18)/(1+Inputs!$B$12)+Inputs!$B$13)</f>
        <v>-20714.78016</v>
      </c>
      <c r="I13" s="37" t="n">
        <f aca="false">-I9*((1-Inputs!$B$18)/(1+Inputs!$B$12)+Inputs!$B$13)</f>
        <v>-21129.0757632</v>
      </c>
      <c r="J13" s="37" t="n">
        <f aca="false">-J9*((1-Inputs!$B$18)/(1+Inputs!$B$12)+Inputs!$B$13)</f>
        <v>-21551.657278464</v>
      </c>
      <c r="K13" s="37" t="n">
        <f aca="false">-K9*((1-Inputs!$B$18)/(1+Inputs!$B$12)+Inputs!$B$13)</f>
        <v>-21982.6904240333</v>
      </c>
      <c r="L13" s="37" t="n">
        <f aca="false">-L9*((1-Inputs!$B$18)/(1+Inputs!$B$12)+Inputs!$B$13)</f>
        <v>-22422.3442325139</v>
      </c>
      <c r="M13" s="37" t="n">
        <f aca="false">-M9*((1-Inputs!$B$18)/(1+Inputs!$B$12)+Inputs!$B$13)</f>
        <v>-22870.7911171642</v>
      </c>
      <c r="N13" s="37" t="n">
        <f aca="false">-N9*((1-Inputs!$B$18)/(1+Inputs!$B$12)+Inputs!$B$13)</f>
        <v>-23328.2069395075</v>
      </c>
      <c r="O13" s="37" t="n">
        <f aca="false">-O9*((1-Inputs!$B$18)/(1+Inputs!$B$12)+Inputs!$B$13)</f>
        <v>-23794.7710782977</v>
      </c>
      <c r="P13" s="37" t="n">
        <f aca="false">-P9*((1-Inputs!$B$18)/(1+Inputs!$B$12)+Inputs!$B$13)</f>
        <v>-24270.6664998636</v>
      </c>
    </row>
    <row r="14" customFormat="false" ht="15" hidden="false" customHeight="false" outlineLevel="0" collapsed="false">
      <c r="A14" s="30" t="s">
        <v>115</v>
      </c>
      <c r="B14" s="37" t="n">
        <f aca="false">-B10*(1-Inputs!$B$11)</f>
        <v>-0</v>
      </c>
      <c r="C14" s="37" t="n">
        <f aca="false">-C10*(1-Inputs!$B$11)</f>
        <v>-0</v>
      </c>
      <c r="D14" s="37" t="n">
        <f aca="false">-D10*(1-Inputs!$B$11)</f>
        <v>-0</v>
      </c>
      <c r="E14" s="37" t="n">
        <f aca="false">-E10*(1-Inputs!$B$11)</f>
        <v>-0</v>
      </c>
      <c r="F14" s="37" t="n">
        <f aca="false">-F10*(1-Inputs!$B$11)</f>
        <v>-0</v>
      </c>
      <c r="G14" s="37" t="n">
        <f aca="false">-G10*(1-Inputs!$B$11)</f>
        <v>-0</v>
      </c>
      <c r="H14" s="37" t="n">
        <f aca="false">-H10*(1-Inputs!$B$11)</f>
        <v>-0</v>
      </c>
      <c r="I14" s="37" t="n">
        <f aca="false">-I10*(1-Inputs!$B$11)</f>
        <v>-0</v>
      </c>
      <c r="J14" s="37" t="n">
        <f aca="false">-J10*(1-Inputs!$B$11)</f>
        <v>-0</v>
      </c>
      <c r="K14" s="37" t="n">
        <f aca="false">-K10*(1-Inputs!$B$11)</f>
        <v>-0</v>
      </c>
      <c r="L14" s="37" t="n">
        <f aca="false">-L10*(1-Inputs!$B$11)</f>
        <v>-0</v>
      </c>
      <c r="M14" s="37" t="n">
        <f aca="false">-M10*(1-Inputs!$B$11)</f>
        <v>-0</v>
      </c>
      <c r="N14" s="37" t="n">
        <f aca="false">-N10*(1-Inputs!$B$11)</f>
        <v>-0</v>
      </c>
      <c r="O14" s="37" t="n">
        <f aca="false">-O10*(1-Inputs!$B$11)</f>
        <v>-0</v>
      </c>
      <c r="P14" s="37" t="n">
        <f aca="false">-P10*(1-Inputs!$B$11)</f>
        <v>-0</v>
      </c>
    </row>
    <row r="15" customFormat="false" ht="15" hidden="false" customHeight="false" outlineLevel="0" collapsed="false">
      <c r="A15" s="27" t="s">
        <v>116</v>
      </c>
      <c r="B15" s="38" t="n">
        <f aca="false">B11+B12+B13+B14</f>
        <v>58848</v>
      </c>
      <c r="C15" s="38" t="n">
        <f aca="false">C11+C12+C13+C14</f>
        <v>78464</v>
      </c>
      <c r="D15" s="38" t="n">
        <f aca="false">D11+D12+D13+D14</f>
        <v>93176</v>
      </c>
      <c r="E15" s="38" t="n">
        <f aca="false">E11+E12+E13+E14</f>
        <v>98080</v>
      </c>
      <c r="F15" s="38" t="n">
        <f aca="false">F11+F12+F13+F14</f>
        <v>100041.6</v>
      </c>
      <c r="G15" s="38" t="n">
        <f aca="false">G11+G12+G13+G14</f>
        <v>102042.432</v>
      </c>
      <c r="H15" s="38" t="n">
        <f aca="false">H11+H12+H13+H14</f>
        <v>104083.28064</v>
      </c>
      <c r="I15" s="38" t="n">
        <f aca="false">I11+I12+I13+I14</f>
        <v>106164.9462528</v>
      </c>
      <c r="J15" s="38" t="n">
        <f aca="false">J11+J12+J13+J14</f>
        <v>108288.245177856</v>
      </c>
      <c r="K15" s="38" t="n">
        <f aca="false">K11+K12+K13+K14</f>
        <v>110454.010081413</v>
      </c>
      <c r="L15" s="38" t="n">
        <f aca="false">L11+L12+L13+L14</f>
        <v>112663.090283041</v>
      </c>
      <c r="M15" s="38" t="n">
        <f aca="false">M11+M12+M13+M14</f>
        <v>114916.352088702</v>
      </c>
      <c r="N15" s="38" t="n">
        <f aca="false">N11+N12+N13+N14</f>
        <v>117214.679130476</v>
      </c>
      <c r="O15" s="38" t="n">
        <f aca="false">O11+O12+O13+O14</f>
        <v>119558.972713086</v>
      </c>
      <c r="P15" s="38" t="n">
        <f aca="false">P11+P12+P13+P14</f>
        <v>121950.152167347</v>
      </c>
    </row>
    <row r="16" customFormat="false" ht="15" hidden="false" customHeight="false" outlineLevel="0" collapsed="false">
      <c r="A16" s="30" t="s">
        <v>117</v>
      </c>
      <c r="B16" s="39" t="n">
        <f aca="false">B15/B11</f>
        <v>0.291904761904762</v>
      </c>
      <c r="C16" s="39" t="n">
        <f aca="false">C15/C11</f>
        <v>0.291904761904762</v>
      </c>
      <c r="D16" s="39" t="n">
        <f aca="false">D15/D11</f>
        <v>0.291904761904762</v>
      </c>
      <c r="E16" s="39" t="n">
        <f aca="false">E15/E11</f>
        <v>0.291904761904762</v>
      </c>
      <c r="F16" s="39" t="n">
        <f aca="false">F15/F11</f>
        <v>0.291904761904762</v>
      </c>
      <c r="G16" s="39" t="n">
        <f aca="false">G15/G11</f>
        <v>0.291904761904762</v>
      </c>
      <c r="H16" s="39" t="n">
        <f aca="false">H15/H11</f>
        <v>0.291904761904762</v>
      </c>
      <c r="I16" s="39" t="n">
        <f aca="false">I15/I11</f>
        <v>0.291904761904762</v>
      </c>
      <c r="J16" s="39" t="n">
        <f aca="false">J15/J11</f>
        <v>0.291904761904762</v>
      </c>
      <c r="K16" s="39" t="n">
        <f aca="false">K15/K11</f>
        <v>0.291904761904762</v>
      </c>
      <c r="L16" s="39" t="n">
        <f aca="false">L15/L11</f>
        <v>0.291904761904762</v>
      </c>
      <c r="M16" s="39" t="n">
        <f aca="false">M15/M11</f>
        <v>0.291904761904762</v>
      </c>
      <c r="N16" s="39" t="n">
        <f aca="false">N15/N11</f>
        <v>0.291904761904762</v>
      </c>
      <c r="O16" s="39" t="n">
        <f aca="false">O15/O11</f>
        <v>0.291904761904762</v>
      </c>
      <c r="P16" s="39" t="n">
        <f aca="false">P15/P11</f>
        <v>0.291904761904762</v>
      </c>
    </row>
    <row r="18" customFormat="false" ht="15" hidden="false" customHeight="false" outlineLevel="0" collapsed="false">
      <c r="A18" s="30" t="s">
        <v>118</v>
      </c>
      <c r="B18" s="37" t="n">
        <f aca="false">-Inputs!$B$21*Inputs!$B$22*12*B6</f>
        <v>-21000</v>
      </c>
      <c r="C18" s="37" t="n">
        <f aca="false">-Inputs!$B$21*Inputs!$B$22*12*C6</f>
        <v>-21525</v>
      </c>
      <c r="D18" s="37" t="n">
        <f aca="false">-Inputs!$B$21*Inputs!$B$22*12*D6</f>
        <v>-22063.125</v>
      </c>
      <c r="E18" s="37" t="n">
        <f aca="false">-Inputs!$B$21*Inputs!$B$22*12*E6</f>
        <v>-22614.703125</v>
      </c>
      <c r="F18" s="37" t="n">
        <f aca="false">-Inputs!$B$21*Inputs!$B$22*12*F6</f>
        <v>-23180.070703125</v>
      </c>
      <c r="G18" s="37" t="n">
        <f aca="false">-Inputs!$B$21*Inputs!$B$22*12*G6</f>
        <v>-23759.5724707031</v>
      </c>
      <c r="H18" s="37" t="n">
        <f aca="false">-Inputs!$B$21*Inputs!$B$22*12*H6</f>
        <v>-24353.5617824707</v>
      </c>
      <c r="I18" s="37" t="n">
        <f aca="false">-Inputs!$B$21*Inputs!$B$22*12*I6</f>
        <v>-24962.4008270325</v>
      </c>
      <c r="J18" s="37" t="n">
        <f aca="false">-Inputs!$B$21*Inputs!$B$22*12*J6</f>
        <v>-25586.4608477083</v>
      </c>
      <c r="K18" s="37" t="n">
        <f aca="false">-Inputs!$B$21*Inputs!$B$22*12*K6</f>
        <v>-26226.122368901</v>
      </c>
      <c r="L18" s="37" t="n">
        <f aca="false">-Inputs!$B$21*Inputs!$B$22*12*L6</f>
        <v>-26881.7754281235</v>
      </c>
      <c r="M18" s="37" t="n">
        <f aca="false">-Inputs!$B$21*Inputs!$B$22*12*M6</f>
        <v>-27553.8198138266</v>
      </c>
      <c r="N18" s="37" t="n">
        <f aca="false">-Inputs!$B$21*Inputs!$B$22*12*N6</f>
        <v>-28242.6653091722</v>
      </c>
      <c r="O18" s="37" t="n">
        <f aca="false">-Inputs!$B$21*Inputs!$B$22*12*O6</f>
        <v>-28948.7319419015</v>
      </c>
      <c r="P18" s="37" t="n">
        <f aca="false">-Inputs!$B$21*Inputs!$B$22*12*P6</f>
        <v>-29672.4502404491</v>
      </c>
    </row>
    <row r="19" customFormat="false" ht="15" hidden="false" customHeight="false" outlineLevel="0" collapsed="false">
      <c r="A19" s="30" t="s">
        <v>119</v>
      </c>
      <c r="B19" s="37" t="n">
        <f aca="false">-Inputs!$B$20*12*B6</f>
        <v>-20400</v>
      </c>
      <c r="C19" s="37" t="n">
        <f aca="false">-Inputs!$B$20*12*C6</f>
        <v>-20910</v>
      </c>
      <c r="D19" s="37" t="n">
        <f aca="false">-Inputs!$B$20*12*D6</f>
        <v>-21432.75</v>
      </c>
      <c r="E19" s="37" t="n">
        <f aca="false">-Inputs!$B$20*12*E6</f>
        <v>-21968.56875</v>
      </c>
      <c r="F19" s="37" t="n">
        <f aca="false">-Inputs!$B$20*12*F6</f>
        <v>-22517.78296875</v>
      </c>
      <c r="G19" s="37" t="n">
        <f aca="false">-Inputs!$B$20*12*G6</f>
        <v>-23080.7275429687</v>
      </c>
      <c r="H19" s="37" t="n">
        <f aca="false">-Inputs!$B$20*12*H6</f>
        <v>-23657.745731543</v>
      </c>
      <c r="I19" s="37" t="n">
        <f aca="false">-Inputs!$B$20*12*I6</f>
        <v>-24249.1893748315</v>
      </c>
      <c r="J19" s="37" t="n">
        <f aca="false">-Inputs!$B$20*12*J6</f>
        <v>-24855.4191092023</v>
      </c>
      <c r="K19" s="37" t="n">
        <f aca="false">-Inputs!$B$20*12*K6</f>
        <v>-25476.8045869324</v>
      </c>
      <c r="L19" s="37" t="n">
        <f aca="false">-Inputs!$B$20*12*L6</f>
        <v>-26113.7247016057</v>
      </c>
      <c r="M19" s="37" t="n">
        <f aca="false">-Inputs!$B$20*12*M6</f>
        <v>-26766.5678191458</v>
      </c>
      <c r="N19" s="37" t="n">
        <f aca="false">-Inputs!$B$20*12*N6</f>
        <v>-27435.7320146245</v>
      </c>
      <c r="O19" s="37" t="n">
        <f aca="false">-Inputs!$B$20*12*O6</f>
        <v>-28121.6253149901</v>
      </c>
      <c r="P19" s="37" t="n">
        <f aca="false">-Inputs!$B$20*12*P6</f>
        <v>-28824.6659478648</v>
      </c>
    </row>
    <row r="20" customFormat="false" ht="15" hidden="false" customHeight="false" outlineLevel="0" collapsed="false">
      <c r="A20" s="30" t="s">
        <v>120</v>
      </c>
      <c r="B20" s="37" t="n">
        <f aca="false">-Inputs!$B$23*12*B6</f>
        <v>-4200</v>
      </c>
      <c r="C20" s="37" t="n">
        <f aca="false">-Inputs!$B$23*12*C6</f>
        <v>-4305</v>
      </c>
      <c r="D20" s="37" t="n">
        <f aca="false">-Inputs!$B$23*12*D6</f>
        <v>-4412.625</v>
      </c>
      <c r="E20" s="37" t="n">
        <f aca="false">-Inputs!$B$23*12*E6</f>
        <v>-4522.940625</v>
      </c>
      <c r="F20" s="37" t="n">
        <f aca="false">-Inputs!$B$23*12*F6</f>
        <v>-4636.014140625</v>
      </c>
      <c r="G20" s="37" t="n">
        <f aca="false">-Inputs!$B$23*12*G6</f>
        <v>-4751.91449414062</v>
      </c>
      <c r="H20" s="37" t="n">
        <f aca="false">-Inputs!$B$23*12*H6</f>
        <v>-4870.71235649414</v>
      </c>
      <c r="I20" s="37" t="n">
        <f aca="false">-Inputs!$B$23*12*I6</f>
        <v>-4992.48016540649</v>
      </c>
      <c r="J20" s="37" t="n">
        <f aca="false">-Inputs!$B$23*12*J6</f>
        <v>-5117.29216954165</v>
      </c>
      <c r="K20" s="37" t="n">
        <f aca="false">-Inputs!$B$23*12*K6</f>
        <v>-5245.22447378019</v>
      </c>
      <c r="L20" s="37" t="n">
        <f aca="false">-Inputs!$B$23*12*L6</f>
        <v>-5376.3550856247</v>
      </c>
      <c r="M20" s="37" t="n">
        <f aca="false">-Inputs!$B$23*12*M6</f>
        <v>-5510.76396276532</v>
      </c>
      <c r="N20" s="37" t="n">
        <f aca="false">-Inputs!$B$23*12*N6</f>
        <v>-5648.53306183445</v>
      </c>
      <c r="O20" s="37" t="n">
        <f aca="false">-Inputs!$B$23*12*O6</f>
        <v>-5789.74638838031</v>
      </c>
      <c r="P20" s="37" t="n">
        <f aca="false">-Inputs!$B$23*12*P6</f>
        <v>-5934.49004808982</v>
      </c>
    </row>
    <row r="21" customFormat="false" ht="15" hidden="false" customHeight="false" outlineLevel="0" collapsed="false">
      <c r="A21" s="30" t="s">
        <v>121</v>
      </c>
      <c r="B21" s="37" t="n">
        <f aca="false">-(Inputs!$B$24+Inputs!$B$25+Inputs!$B$26)*12*B6</f>
        <v>-6240</v>
      </c>
      <c r="C21" s="37" t="n">
        <f aca="false">-(Inputs!$B$24+Inputs!$B$25+Inputs!$B$26)*12*C6</f>
        <v>-6396</v>
      </c>
      <c r="D21" s="37" t="n">
        <f aca="false">-(Inputs!$B$24+Inputs!$B$25+Inputs!$B$26)*12*D6</f>
        <v>-6555.9</v>
      </c>
      <c r="E21" s="37" t="n">
        <f aca="false">-(Inputs!$B$24+Inputs!$B$25+Inputs!$B$26)*12*E6</f>
        <v>-6719.7975</v>
      </c>
      <c r="F21" s="37" t="n">
        <f aca="false">-(Inputs!$B$24+Inputs!$B$25+Inputs!$B$26)*12*F6</f>
        <v>-6887.7924375</v>
      </c>
      <c r="G21" s="37" t="n">
        <f aca="false">-(Inputs!$B$24+Inputs!$B$25+Inputs!$B$26)*12*G6</f>
        <v>-7059.9872484375</v>
      </c>
      <c r="H21" s="37" t="n">
        <f aca="false">-(Inputs!$B$24+Inputs!$B$25+Inputs!$B$26)*12*H6</f>
        <v>-7236.48692964844</v>
      </c>
      <c r="I21" s="37" t="n">
        <f aca="false">-(Inputs!$B$24+Inputs!$B$25+Inputs!$B$26)*12*I6</f>
        <v>-7417.39910288964</v>
      </c>
      <c r="J21" s="37" t="n">
        <f aca="false">-(Inputs!$B$24+Inputs!$B$25+Inputs!$B$26)*12*J6</f>
        <v>-7602.83408046189</v>
      </c>
      <c r="K21" s="37" t="n">
        <f aca="false">-(Inputs!$B$24+Inputs!$B$25+Inputs!$B$26)*12*K6</f>
        <v>-7792.90493247343</v>
      </c>
      <c r="L21" s="37" t="n">
        <f aca="false">-(Inputs!$B$24+Inputs!$B$25+Inputs!$B$26)*12*L6</f>
        <v>-7987.72755578527</v>
      </c>
      <c r="M21" s="37" t="n">
        <f aca="false">-(Inputs!$B$24+Inputs!$B$25+Inputs!$B$26)*12*M6</f>
        <v>-8187.4207446799</v>
      </c>
      <c r="N21" s="37" t="n">
        <f aca="false">-(Inputs!$B$24+Inputs!$B$25+Inputs!$B$26)*12*N6</f>
        <v>-8392.10626329689</v>
      </c>
      <c r="O21" s="37" t="n">
        <f aca="false">-(Inputs!$B$24+Inputs!$B$25+Inputs!$B$26)*12*O6</f>
        <v>-8601.90891987932</v>
      </c>
      <c r="P21" s="37" t="n">
        <f aca="false">-(Inputs!$B$24+Inputs!$B$25+Inputs!$B$26)*12*P6</f>
        <v>-8816.9566428763</v>
      </c>
    </row>
    <row r="22" customFormat="false" ht="15" hidden="false" customHeight="false" outlineLevel="0" collapsed="false">
      <c r="A22" s="30" t="s">
        <v>122</v>
      </c>
      <c r="B22" s="37" t="n">
        <f aca="false">-B8*Inputs!$B$27</f>
        <v>-1872</v>
      </c>
      <c r="C22" s="37" t="n">
        <f aca="false">-C8*Inputs!$B$27</f>
        <v>-2496</v>
      </c>
      <c r="D22" s="37" t="n">
        <f aca="false">-D8*Inputs!$B$27</f>
        <v>-2964</v>
      </c>
      <c r="E22" s="37" t="n">
        <f aca="false">-E8*Inputs!$B$27</f>
        <v>-3120</v>
      </c>
      <c r="F22" s="37" t="n">
        <f aca="false">-F8*Inputs!$B$27</f>
        <v>-3182.4</v>
      </c>
      <c r="G22" s="37" t="n">
        <f aca="false">-G8*Inputs!$B$27</f>
        <v>-3246.048</v>
      </c>
      <c r="H22" s="37" t="n">
        <f aca="false">-H8*Inputs!$B$27</f>
        <v>-3310.96896</v>
      </c>
      <c r="I22" s="37" t="n">
        <f aca="false">-I8*Inputs!$B$27</f>
        <v>-3377.1883392</v>
      </c>
      <c r="J22" s="37" t="n">
        <f aca="false">-J8*Inputs!$B$27</f>
        <v>-3444.732105984</v>
      </c>
      <c r="K22" s="37" t="n">
        <f aca="false">-K8*Inputs!$B$27</f>
        <v>-3513.62674810368</v>
      </c>
      <c r="L22" s="37" t="n">
        <f aca="false">-L8*Inputs!$B$27</f>
        <v>-3583.89928306575</v>
      </c>
      <c r="M22" s="37" t="n">
        <f aca="false">-M8*Inputs!$B$27</f>
        <v>-3655.57726872707</v>
      </c>
      <c r="N22" s="37" t="n">
        <f aca="false">-N8*Inputs!$B$27</f>
        <v>-3728.68881410161</v>
      </c>
      <c r="O22" s="37" t="n">
        <f aca="false">-O8*Inputs!$B$27</f>
        <v>-3803.26259038364</v>
      </c>
      <c r="P22" s="37" t="n">
        <f aca="false">-P8*Inputs!$B$27</f>
        <v>-3879.32784219132</v>
      </c>
    </row>
    <row r="23" customFormat="false" ht="15" hidden="false" customHeight="false" outlineLevel="0" collapsed="false">
      <c r="A23" s="30" t="s">
        <v>123</v>
      </c>
      <c r="B23" s="37" t="n">
        <f aca="false">-B8*Inputs!$B$28</f>
        <v>-1684.8</v>
      </c>
      <c r="C23" s="37" t="n">
        <f aca="false">-C8*Inputs!$B$28</f>
        <v>-2246.4</v>
      </c>
      <c r="D23" s="37" t="n">
        <f aca="false">-D8*Inputs!$B$28</f>
        <v>-2667.6</v>
      </c>
      <c r="E23" s="37" t="n">
        <f aca="false">-E8*Inputs!$B$28</f>
        <v>-2808</v>
      </c>
      <c r="F23" s="37" t="n">
        <f aca="false">-F8*Inputs!$B$28</f>
        <v>-2864.16</v>
      </c>
      <c r="G23" s="37" t="n">
        <f aca="false">-G8*Inputs!$B$28</f>
        <v>-2921.4432</v>
      </c>
      <c r="H23" s="37" t="n">
        <f aca="false">-H8*Inputs!$B$28</f>
        <v>-2979.872064</v>
      </c>
      <c r="I23" s="37" t="n">
        <f aca="false">-I8*Inputs!$B$28</f>
        <v>-3039.46950528</v>
      </c>
      <c r="J23" s="37" t="n">
        <f aca="false">-J8*Inputs!$B$28</f>
        <v>-3100.2588953856</v>
      </c>
      <c r="K23" s="37" t="n">
        <f aca="false">-K8*Inputs!$B$28</f>
        <v>-3162.26407329331</v>
      </c>
      <c r="L23" s="37" t="n">
        <f aca="false">-L8*Inputs!$B$28</f>
        <v>-3225.50935475918</v>
      </c>
      <c r="M23" s="37" t="n">
        <f aca="false">-M8*Inputs!$B$28</f>
        <v>-3290.01954185436</v>
      </c>
      <c r="N23" s="37" t="n">
        <f aca="false">-N8*Inputs!$B$28</f>
        <v>-3355.81993269145</v>
      </c>
      <c r="O23" s="37" t="n">
        <f aca="false">-O8*Inputs!$B$28</f>
        <v>-3422.93633134528</v>
      </c>
      <c r="P23" s="37" t="n">
        <f aca="false">-P8*Inputs!$B$28</f>
        <v>-3491.39505797218</v>
      </c>
    </row>
    <row r="24" customFormat="false" ht="15" hidden="false" customHeight="false" outlineLevel="0" collapsed="false">
      <c r="A24" s="30" t="s">
        <v>124</v>
      </c>
      <c r="B24" s="37" t="n">
        <f aca="false">-B11*IF(B11/12&lt;Inputs!$B$31,0,IF(B11/12&lt;Inputs!$B$32,Inputs!$B$33,Inputs!$B$34))</f>
        <v>-0</v>
      </c>
      <c r="C24" s="37" t="n">
        <f aca="false">-C11*IF(C11/12&lt;Inputs!$B$31,0,IF(C11/12&lt;Inputs!$B$32,Inputs!$B$33,Inputs!$B$34))</f>
        <v>-0</v>
      </c>
      <c r="D24" s="37" t="n">
        <f aca="false">-D11*IF(D11/12&lt;Inputs!$B$31,0,IF(D11/12&lt;Inputs!$B$32,Inputs!$B$33,Inputs!$B$34))</f>
        <v>-4788</v>
      </c>
      <c r="E24" s="37" t="n">
        <f aca="false">-E11*IF(E11/12&lt;Inputs!$B$31,0,IF(E11/12&lt;Inputs!$B$32,Inputs!$B$33,Inputs!$B$34))</f>
        <v>-5040</v>
      </c>
      <c r="F24" s="37" t="n">
        <f aca="false">-F11*IF(F11/12&lt;Inputs!$B$31,0,IF(F11/12&lt;Inputs!$B$32,Inputs!$B$33,Inputs!$B$34))</f>
        <v>-5140.8</v>
      </c>
      <c r="G24" s="37" t="n">
        <f aca="false">-G11*IF(G11/12&lt;Inputs!$B$31,0,IF(G11/12&lt;Inputs!$B$32,Inputs!$B$33,Inputs!$B$34))</f>
        <v>-5243.616</v>
      </c>
      <c r="H24" s="37" t="n">
        <f aca="false">-H11*IF(H11/12&lt;Inputs!$B$31,0,IF(H11/12&lt;Inputs!$B$32,Inputs!$B$33,Inputs!$B$34))</f>
        <v>-5348.48832</v>
      </c>
      <c r="I24" s="37" t="n">
        <f aca="false">-I11*IF(I11/12&lt;Inputs!$B$31,0,IF(I11/12&lt;Inputs!$B$32,Inputs!$B$33,Inputs!$B$34))</f>
        <v>-10910.9161728</v>
      </c>
      <c r="J24" s="37" t="n">
        <f aca="false">-J11*IF(J11/12&lt;Inputs!$B$31,0,IF(J11/12&lt;Inputs!$B$32,Inputs!$B$33,Inputs!$B$34))</f>
        <v>-11129.134496256</v>
      </c>
      <c r="K24" s="37" t="n">
        <f aca="false">-K11*IF(K11/12&lt;Inputs!$B$31,0,IF(K11/12&lt;Inputs!$B$32,Inputs!$B$33,Inputs!$B$34))</f>
        <v>-11351.7171861811</v>
      </c>
      <c r="L24" s="37" t="n">
        <f aca="false">-L11*IF(L11/12&lt;Inputs!$B$31,0,IF(L11/12&lt;Inputs!$B$32,Inputs!$B$33,Inputs!$B$34))</f>
        <v>-11578.7515299047</v>
      </c>
      <c r="M24" s="37" t="n">
        <f aca="false">-M11*IF(M11/12&lt;Inputs!$B$31,0,IF(M11/12&lt;Inputs!$B$32,Inputs!$B$33,Inputs!$B$34))</f>
        <v>-11810.3265605028</v>
      </c>
      <c r="N24" s="37" t="n">
        <f aca="false">-N11*IF(N11/12&lt;Inputs!$B$31,0,IF(N11/12&lt;Inputs!$B$32,Inputs!$B$33,Inputs!$B$34))</f>
        <v>-12046.5330917129</v>
      </c>
      <c r="O24" s="37" t="n">
        <f aca="false">-O11*IF(O11/12&lt;Inputs!$B$31,0,IF(O11/12&lt;Inputs!$B$32,Inputs!$B$33,Inputs!$B$34))</f>
        <v>-12287.4637535472</v>
      </c>
      <c r="P24" s="37" t="n">
        <f aca="false">-P11*IF(P11/12&lt;Inputs!$B$31,0,IF(P11/12&lt;Inputs!$B$32,Inputs!$B$33,Inputs!$B$34))</f>
        <v>-12533.2130286181</v>
      </c>
    </row>
    <row r="25" customFormat="false" ht="15" hidden="false" customHeight="false" outlineLevel="0" collapsed="false">
      <c r="A25" s="30" t="s">
        <v>125</v>
      </c>
      <c r="B25" s="37" t="n">
        <f aca="false">-B11*Inputs!$B$35</f>
        <v>-2016</v>
      </c>
      <c r="C25" s="37" t="n">
        <f aca="false">-C11*Inputs!$B$35</f>
        <v>-2688</v>
      </c>
      <c r="D25" s="37" t="n">
        <f aca="false">-D11*Inputs!$B$35</f>
        <v>-3192</v>
      </c>
      <c r="E25" s="37" t="n">
        <f aca="false">-E11*Inputs!$B$35</f>
        <v>-3360</v>
      </c>
      <c r="F25" s="37" t="n">
        <f aca="false">-F11*Inputs!$B$35</f>
        <v>-3427.2</v>
      </c>
      <c r="G25" s="37" t="n">
        <f aca="false">-G11*Inputs!$B$35</f>
        <v>-3495.744</v>
      </c>
      <c r="H25" s="37" t="n">
        <f aca="false">-H11*Inputs!$B$35</f>
        <v>-3565.65888</v>
      </c>
      <c r="I25" s="37" t="n">
        <f aca="false">-I11*Inputs!$B$35</f>
        <v>-3636.9720576</v>
      </c>
      <c r="J25" s="37" t="n">
        <f aca="false">-J11*Inputs!$B$35</f>
        <v>-3709.711498752</v>
      </c>
      <c r="K25" s="37" t="n">
        <f aca="false">-K11*Inputs!$B$35</f>
        <v>-3783.90572872704</v>
      </c>
      <c r="L25" s="37" t="n">
        <f aca="false">-L11*Inputs!$B$35</f>
        <v>-3859.58384330158</v>
      </c>
      <c r="M25" s="37" t="n">
        <f aca="false">-M11*Inputs!$B$35</f>
        <v>-3936.77552016761</v>
      </c>
      <c r="N25" s="37" t="n">
        <f aca="false">-N11*Inputs!$B$35</f>
        <v>-4015.51103057097</v>
      </c>
      <c r="O25" s="37" t="n">
        <f aca="false">-O11*Inputs!$B$35</f>
        <v>-4095.82125118238</v>
      </c>
      <c r="P25" s="37" t="n">
        <f aca="false">-P11*Inputs!$B$35</f>
        <v>-4177.73767620603</v>
      </c>
    </row>
    <row r="27" customFormat="false" ht="15" hidden="false" customHeight="false" outlineLevel="0" collapsed="false">
      <c r="A27" s="27" t="s">
        <v>126</v>
      </c>
      <c r="B27" s="38" t="n">
        <f aca="false">B15+SUM(B18:B25)</f>
        <v>1435.20000000001</v>
      </c>
      <c r="C27" s="38" t="n">
        <f aca="false">C15+SUM(C18:C25)</f>
        <v>17897.6</v>
      </c>
      <c r="D27" s="38" t="n">
        <f aca="false">D15+SUM(D18:D25)</f>
        <v>25100</v>
      </c>
      <c r="E27" s="38" t="n">
        <f aca="false">E15+SUM(E18:E25)</f>
        <v>27925.99</v>
      </c>
      <c r="F27" s="38" t="n">
        <f aca="false">F15+SUM(F18:F25)</f>
        <v>28205.37975</v>
      </c>
      <c r="G27" s="38" t="n">
        <f aca="false">G15+SUM(G18:G25)</f>
        <v>28483.37904375</v>
      </c>
      <c r="H27" s="38" t="n">
        <f aca="false">H15+SUM(H18:H25)</f>
        <v>28759.7856158438</v>
      </c>
      <c r="I27" s="38" t="n">
        <f aca="false">I15+SUM(I18:I25)</f>
        <v>23578.9307077599</v>
      </c>
      <c r="J27" s="38" t="n">
        <f aca="false">J15+SUM(J18:J25)</f>
        <v>23742.4019745643</v>
      </c>
      <c r="K27" s="38" t="n">
        <f aca="false">K15+SUM(K18:K25)</f>
        <v>23901.4399830211</v>
      </c>
      <c r="L27" s="38" t="n">
        <f aca="false">L15+SUM(L18:L25)</f>
        <v>24055.763500871</v>
      </c>
      <c r="M27" s="38" t="n">
        <f aca="false">M15+SUM(M18:M25)</f>
        <v>24205.0808570327</v>
      </c>
      <c r="N27" s="38" t="n">
        <f aca="false">N15+SUM(N18:N25)</f>
        <v>24349.0896124713</v>
      </c>
      <c r="O27" s="38" t="n">
        <f aca="false">O15+SUM(O18:O25)</f>
        <v>24487.4762214761</v>
      </c>
      <c r="P27" s="38" t="n">
        <f aca="false">P15+SUM(P18:P25)</f>
        <v>24619.9156830799</v>
      </c>
    </row>
    <row r="28" customFormat="false" ht="15" hidden="false" customHeight="false" outlineLevel="0" collapsed="false">
      <c r="A28" s="30" t="s">
        <v>127</v>
      </c>
      <c r="B28" s="39" t="n">
        <f aca="false">B27/B11</f>
        <v>0.00711904761904768</v>
      </c>
      <c r="C28" s="39" t="n">
        <f aca="false">C27/C11</f>
        <v>0.0665833333333334</v>
      </c>
      <c r="D28" s="39" t="n">
        <f aca="false">D27/D11</f>
        <v>0.0786340852130326</v>
      </c>
      <c r="E28" s="39" t="n">
        <f aca="false">E27/E11</f>
        <v>0.0831130654761905</v>
      </c>
      <c r="F28" s="39" t="n">
        <f aca="false">F27/F11</f>
        <v>0.0822986103816527</v>
      </c>
      <c r="G28" s="39" t="n">
        <f aca="false">G27/G11</f>
        <v>0.0814801628601808</v>
      </c>
      <c r="H28" s="39" t="n">
        <f aca="false">H27/H11</f>
        <v>0.0806577033410548</v>
      </c>
      <c r="I28" s="39" t="n">
        <f aca="false">I27/I11</f>
        <v>0.0648312121576193</v>
      </c>
      <c r="J28" s="39" t="n">
        <f aca="false">J27/J11</f>
        <v>0.0640006695468141</v>
      </c>
      <c r="K28" s="39" t="n">
        <f aca="false">K27/K11</f>
        <v>0.063166055648701</v>
      </c>
      <c r="L28" s="39" t="n">
        <f aca="false">L27/L11</f>
        <v>0.0623273505059891</v>
      </c>
      <c r="M28" s="39" t="n">
        <f aca="false">M27/M11</f>
        <v>0.0614845340635581</v>
      </c>
      <c r="N28" s="39" t="n">
        <f aca="false">N27/N11</f>
        <v>0.060637586167978</v>
      </c>
      <c r="O28" s="39" t="n">
        <f aca="false">O27/O11</f>
        <v>0.0597864865670274</v>
      </c>
      <c r="P28" s="39" t="n">
        <f aca="false">P27/P11</f>
        <v>0.0589312149092094</v>
      </c>
    </row>
    <row r="30" customFormat="false" ht="15" hidden="false" customHeight="false" outlineLevel="0" collapsed="false">
      <c r="A30" s="30" t="s">
        <v>128</v>
      </c>
      <c r="B30" s="37" t="n">
        <f aca="false">-IF(1&lt;=Inputs!$B$38,Inversión!$B$18/Inputs!$B$38,0)</f>
        <v>-6493.75</v>
      </c>
      <c r="C30" s="37" t="n">
        <f aca="false">-IF(2&lt;=Inputs!$B$38,Inversión!$B$18/Inputs!$B$38,0)</f>
        <v>-6493.75</v>
      </c>
      <c r="D30" s="37" t="n">
        <f aca="false">-IF(3&lt;=Inputs!$B$38,Inversión!$B$18/Inputs!$B$38,0)</f>
        <v>-6493.75</v>
      </c>
      <c r="E30" s="37" t="n">
        <f aca="false">-IF(4&lt;=Inputs!$B$38,Inversión!$B$18/Inputs!$B$38,0)</f>
        <v>-6493.75</v>
      </c>
      <c r="F30" s="37" t="n">
        <f aca="false">-IF(5&lt;=Inputs!$B$38,Inversión!$B$18/Inputs!$B$38,0)</f>
        <v>-6493.75</v>
      </c>
      <c r="G30" s="37" t="n">
        <f aca="false">-IF(6&lt;=Inputs!$B$38,Inversión!$B$18/Inputs!$B$38,0)</f>
        <v>-6493.75</v>
      </c>
      <c r="H30" s="37" t="n">
        <f aca="false">-IF(7&lt;=Inputs!$B$38,Inversión!$B$18/Inputs!$B$38,0)</f>
        <v>-6493.75</v>
      </c>
      <c r="I30" s="37" t="n">
        <f aca="false">-IF(8&lt;=Inputs!$B$38,Inversión!$B$18/Inputs!$B$38,0)</f>
        <v>-6493.75</v>
      </c>
      <c r="J30" s="37" t="n">
        <f aca="false">-IF(9&lt;=Inputs!$B$38,Inversión!$B$18/Inputs!$B$38,0)</f>
        <v>-0</v>
      </c>
      <c r="K30" s="37" t="n">
        <f aca="false">-IF(10&lt;=Inputs!$B$38,Inversión!$B$18/Inputs!$B$38,0)</f>
        <v>-0</v>
      </c>
      <c r="L30" s="37" t="n">
        <f aca="false">-IF(11&lt;=Inputs!$B$38,Inversión!$B$18/Inputs!$B$38,0)</f>
        <v>-0</v>
      </c>
      <c r="M30" s="37" t="n">
        <f aca="false">-IF(12&lt;=Inputs!$B$38,Inversión!$B$18/Inputs!$B$38,0)</f>
        <v>-0</v>
      </c>
      <c r="N30" s="37" t="n">
        <f aca="false">-IF(13&lt;=Inputs!$B$38,Inversión!$B$18/Inputs!$B$38,0)</f>
        <v>-0</v>
      </c>
      <c r="O30" s="37" t="n">
        <f aca="false">-IF(14&lt;=Inputs!$B$38,Inversión!$B$18/Inputs!$B$38,0)</f>
        <v>-0</v>
      </c>
      <c r="P30" s="37" t="n">
        <f aca="false">-IF(15&lt;=Inputs!$B$38,Inversión!$B$18/Inputs!$B$38,0)</f>
        <v>-0</v>
      </c>
    </row>
    <row r="31" customFormat="false" ht="15" hidden="false" customHeight="false" outlineLevel="0" collapsed="false">
      <c r="A31" s="4" t="s">
        <v>129</v>
      </c>
      <c r="B31" s="36" t="n">
        <f aca="false">B27+B30</f>
        <v>-5058.54999999999</v>
      </c>
      <c r="C31" s="36" t="n">
        <f aca="false">C27+C30</f>
        <v>11403.85</v>
      </c>
      <c r="D31" s="36" t="n">
        <f aca="false">D27+D30</f>
        <v>18606.25</v>
      </c>
      <c r="E31" s="36" t="n">
        <f aca="false">E27+E30</f>
        <v>21432.24</v>
      </c>
      <c r="F31" s="36" t="n">
        <f aca="false">F27+F30</f>
        <v>21711.62975</v>
      </c>
      <c r="G31" s="36" t="n">
        <f aca="false">G27+G30</f>
        <v>21989.62904375</v>
      </c>
      <c r="H31" s="36" t="n">
        <f aca="false">H27+H30</f>
        <v>22266.0356158438</v>
      </c>
      <c r="I31" s="36" t="n">
        <f aca="false">I27+I30</f>
        <v>17085.1807077599</v>
      </c>
      <c r="J31" s="36" t="n">
        <f aca="false">J27+J30</f>
        <v>23742.4019745643</v>
      </c>
      <c r="K31" s="36" t="n">
        <f aca="false">K27+K30</f>
        <v>23901.4399830211</v>
      </c>
      <c r="L31" s="36" t="n">
        <f aca="false">L27+L30</f>
        <v>24055.763500871</v>
      </c>
      <c r="M31" s="36" t="n">
        <f aca="false">M27+M30</f>
        <v>24205.0808570327</v>
      </c>
      <c r="N31" s="36" t="n">
        <f aca="false">N27+N30</f>
        <v>24349.0896124713</v>
      </c>
      <c r="O31" s="36" t="n">
        <f aca="false">O27+O30</f>
        <v>24487.4762214761</v>
      </c>
      <c r="P31" s="36" t="n">
        <f aca="false">P27+P30</f>
        <v>24619.9156830799</v>
      </c>
    </row>
    <row r="32" customFormat="false" ht="15" hidden="false" customHeight="false" outlineLevel="0" collapsed="false">
      <c r="A32" s="30" t="s">
        <v>57</v>
      </c>
      <c r="B32" s="37" t="n">
        <f aca="false">-MAX(0,B31)*Inputs!$B$37</f>
        <v>-0</v>
      </c>
      <c r="C32" s="37" t="n">
        <f aca="false">-MAX(0,C31)*Inputs!$B$37</f>
        <v>-1938.6545</v>
      </c>
      <c r="D32" s="37" t="n">
        <f aca="false">-MAX(0,D31)*Inputs!$B$37</f>
        <v>-3163.0625</v>
      </c>
      <c r="E32" s="37" t="n">
        <f aca="false">-MAX(0,E31)*Inputs!$B$37</f>
        <v>-3643.4808</v>
      </c>
      <c r="F32" s="37" t="n">
        <f aca="false">-MAX(0,F31)*Inputs!$B$37</f>
        <v>-3690.9770575</v>
      </c>
      <c r="G32" s="37" t="n">
        <f aca="false">-MAX(0,G31)*Inputs!$B$37</f>
        <v>-3738.2369374375</v>
      </c>
      <c r="H32" s="37" t="n">
        <f aca="false">-MAX(0,H31)*Inputs!$B$37</f>
        <v>-3785.22605469344</v>
      </c>
      <c r="I32" s="37" t="n">
        <f aca="false">-MAX(0,I31)*Inputs!$B$37</f>
        <v>-2904.48072031918</v>
      </c>
      <c r="J32" s="37" t="n">
        <f aca="false">-MAX(0,J31)*Inputs!$B$37</f>
        <v>-4036.20833567593</v>
      </c>
      <c r="K32" s="37" t="n">
        <f aca="false">-MAX(0,K31)*Inputs!$B$37</f>
        <v>-4063.24479711358</v>
      </c>
      <c r="L32" s="37" t="n">
        <f aca="false">-MAX(0,L31)*Inputs!$B$37</f>
        <v>-4089.47979514807</v>
      </c>
      <c r="M32" s="37" t="n">
        <f aca="false">-MAX(0,M31)*Inputs!$B$37</f>
        <v>-4114.86374569556</v>
      </c>
      <c r="N32" s="37" t="n">
        <f aca="false">-MAX(0,N31)*Inputs!$B$37</f>
        <v>-4139.34523412012</v>
      </c>
      <c r="O32" s="37" t="n">
        <f aca="false">-MAX(0,O31)*Inputs!$B$37</f>
        <v>-4162.87095765094</v>
      </c>
      <c r="P32" s="37" t="n">
        <f aca="false">-MAX(0,P31)*Inputs!$B$37</f>
        <v>-4185.38566612358</v>
      </c>
    </row>
    <row r="33" customFormat="false" ht="15" hidden="false" customHeight="false" outlineLevel="0" collapsed="false">
      <c r="A33" s="27" t="s">
        <v>130</v>
      </c>
      <c r="B33" s="38" t="n">
        <f aca="false">B31+B32</f>
        <v>-5058.54999999999</v>
      </c>
      <c r="C33" s="38" t="n">
        <f aca="false">C31+C32</f>
        <v>9465.19550000001</v>
      </c>
      <c r="D33" s="38" t="n">
        <f aca="false">D31+D32</f>
        <v>15443.1875</v>
      </c>
      <c r="E33" s="38" t="n">
        <f aca="false">E31+E32</f>
        <v>17788.7592</v>
      </c>
      <c r="F33" s="38" t="n">
        <f aca="false">F31+F32</f>
        <v>18020.6526925</v>
      </c>
      <c r="G33" s="38" t="n">
        <f aca="false">G31+G32</f>
        <v>18251.3921063125</v>
      </c>
      <c r="H33" s="38" t="n">
        <f aca="false">H31+H32</f>
        <v>18480.8095611503</v>
      </c>
      <c r="I33" s="38" t="n">
        <f aca="false">I31+I32</f>
        <v>14180.6999874407</v>
      </c>
      <c r="J33" s="38" t="n">
        <f aca="false">J31+J32</f>
        <v>19706.1936388884</v>
      </c>
      <c r="K33" s="38" t="n">
        <f aca="false">K31+K32</f>
        <v>19838.1951859075</v>
      </c>
      <c r="L33" s="38" t="n">
        <f aca="false">L31+L32</f>
        <v>19966.2837057229</v>
      </c>
      <c r="M33" s="38" t="n">
        <f aca="false">M31+M32</f>
        <v>20090.2171113372</v>
      </c>
      <c r="N33" s="38" t="n">
        <f aca="false">N31+N32</f>
        <v>20209.7443783512</v>
      </c>
      <c r="O33" s="38" t="n">
        <f aca="false">O31+O32</f>
        <v>20324.6052638252</v>
      </c>
      <c r="P33" s="38" t="n">
        <f aca="false">P31+P32</f>
        <v>20434.5300169563</v>
      </c>
    </row>
    <row r="35" customFormat="false" ht="15" hidden="false" customHeight="false" outlineLevel="0" collapsed="false">
      <c r="A35" s="30" t="s">
        <v>131</v>
      </c>
      <c r="B35" s="37" t="n">
        <f aca="false">B27+B32</f>
        <v>1435.20000000001</v>
      </c>
      <c r="C35" s="37" t="n">
        <f aca="false">C27+C32</f>
        <v>15958.9455</v>
      </c>
      <c r="D35" s="37" t="n">
        <f aca="false">D27+D32</f>
        <v>21936.9375</v>
      </c>
      <c r="E35" s="37" t="n">
        <f aca="false">E27+E32</f>
        <v>24282.5092</v>
      </c>
      <c r="F35" s="37" t="n">
        <f aca="false">F27+F32</f>
        <v>24514.4026925</v>
      </c>
      <c r="G35" s="37" t="n">
        <f aca="false">G27+G32</f>
        <v>24745.1421063125</v>
      </c>
      <c r="H35" s="37" t="n">
        <f aca="false">H27+H32</f>
        <v>24974.5595611503</v>
      </c>
      <c r="I35" s="37" t="n">
        <f aca="false">I27+I32</f>
        <v>20674.4499874407</v>
      </c>
      <c r="J35" s="37" t="n">
        <f aca="false">J27+J32</f>
        <v>19706.1936388884</v>
      </c>
      <c r="K35" s="37" t="n">
        <f aca="false">K27+K32</f>
        <v>19838.1951859075</v>
      </c>
      <c r="L35" s="37" t="n">
        <f aca="false">L27+L32</f>
        <v>19966.2837057229</v>
      </c>
      <c r="M35" s="37" t="n">
        <f aca="false">M27+M32</f>
        <v>20090.2171113372</v>
      </c>
      <c r="N35" s="37" t="n">
        <f aca="false">N27+N32</f>
        <v>20209.7443783512</v>
      </c>
      <c r="O35" s="37" t="n">
        <f aca="false">O27+O32</f>
        <v>20324.6052638252</v>
      </c>
      <c r="P35" s="37" t="n">
        <f aca="false">P27+P32</f>
        <v>20434.5300169563</v>
      </c>
    </row>
    <row r="36" customFormat="false" ht="15" hidden="false" customHeight="false" outlineLevel="0" collapsed="false">
      <c r="A36" s="4" t="s">
        <v>132</v>
      </c>
      <c r="B36" s="36" t="n">
        <f aca="false">-(Inversión!$B$17-Inversión!$B$19)+B35</f>
        <v>-60414.8</v>
      </c>
      <c r="C36" s="36" t="n">
        <f aca="false">B36+C35</f>
        <v>-44455.8545</v>
      </c>
      <c r="D36" s="36" t="n">
        <f aca="false">C36+D35</f>
        <v>-22518.917</v>
      </c>
      <c r="E36" s="36" t="n">
        <f aca="false">D36+E35</f>
        <v>1763.59220000002</v>
      </c>
      <c r="F36" s="36" t="n">
        <f aca="false">E36+F35</f>
        <v>26277.9948925</v>
      </c>
      <c r="G36" s="36" t="n">
        <f aca="false">F36+G35</f>
        <v>51023.1369988125</v>
      </c>
      <c r="H36" s="36" t="n">
        <f aca="false">G36+H35</f>
        <v>75997.6965599628</v>
      </c>
      <c r="I36" s="36" t="n">
        <f aca="false">H36+I35</f>
        <v>96672.1465474035</v>
      </c>
      <c r="J36" s="36" t="n">
        <f aca="false">I36+J35</f>
        <v>116378.340186292</v>
      </c>
      <c r="K36" s="36" t="n">
        <f aca="false">J36+K35</f>
        <v>136216.535372199</v>
      </c>
      <c r="L36" s="36" t="n">
        <f aca="false">K36+L35</f>
        <v>156182.819077922</v>
      </c>
      <c r="M36" s="36" t="n">
        <f aca="false">L36+M35</f>
        <v>176273.03618926</v>
      </c>
      <c r="N36" s="36" t="n">
        <f aca="false">M36+N35</f>
        <v>196482.780567611</v>
      </c>
      <c r="O36" s="36" t="n">
        <f aca="false">N36+O35</f>
        <v>216807.385831436</v>
      </c>
      <c r="P36" s="36" t="n">
        <f aca="false">O36+P35</f>
        <v>237241.915848392</v>
      </c>
    </row>
    <row r="37" customFormat="false" ht="15" hidden="false" customHeight="false" outlineLevel="0" collapsed="false">
      <c r="A37" s="30" t="s">
        <v>133</v>
      </c>
      <c r="B37" s="40" t="n">
        <f aca="false">IF(B36&gt;=0,1,0)</f>
        <v>0</v>
      </c>
      <c r="C37" s="40" t="n">
        <f aca="false">IF(C36&gt;=0,1,0)</f>
        <v>0</v>
      </c>
      <c r="D37" s="40" t="n">
        <f aca="false">IF(D36&gt;=0,1,0)</f>
        <v>0</v>
      </c>
      <c r="E37" s="40" t="n">
        <f aca="false">IF(E36&gt;=0,1,0)</f>
        <v>1</v>
      </c>
      <c r="F37" s="40" t="n">
        <f aca="false">IF(F36&gt;=0,1,0)</f>
        <v>1</v>
      </c>
      <c r="G37" s="40" t="n">
        <f aca="false">IF(G36&gt;=0,1,0)</f>
        <v>1</v>
      </c>
      <c r="H37" s="40" t="n">
        <f aca="false">IF(H36&gt;=0,1,0)</f>
        <v>1</v>
      </c>
      <c r="I37" s="40" t="n">
        <f aca="false">IF(I36&gt;=0,1,0)</f>
        <v>1</v>
      </c>
      <c r="J37" s="40" t="n">
        <f aca="false">IF(J36&gt;=0,1,0)</f>
        <v>1</v>
      </c>
      <c r="K37" s="40" t="n">
        <f aca="false">IF(K36&gt;=0,1,0)</f>
        <v>1</v>
      </c>
      <c r="L37" s="40" t="n">
        <f aca="false">IF(L36&gt;=0,1,0)</f>
        <v>1</v>
      </c>
      <c r="M37" s="40" t="n">
        <f aca="false">IF(M36&gt;=0,1,0)</f>
        <v>1</v>
      </c>
      <c r="N37" s="40" t="n">
        <f aca="false">IF(N36&gt;=0,1,0)</f>
        <v>1</v>
      </c>
      <c r="O37" s="40" t="n">
        <f aca="false">IF(O36&gt;=0,1,0)</f>
        <v>1</v>
      </c>
      <c r="P37" s="40" t="n">
        <f aca="false">IF(P36&gt;=0,1,0)</f>
        <v>1</v>
      </c>
    </row>
    <row r="40" customFormat="false" ht="15" hidden="false" customHeight="false" outlineLevel="0" collapsed="false">
      <c r="A40" s="8" t="s">
        <v>134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customFormat="false" ht="15" hidden="false" customHeight="false" outlineLevel="0" collapsed="false">
      <c r="A41" s="4" t="s">
        <v>135</v>
      </c>
      <c r="B41" s="41" t="n">
        <f aca="false">Inversión!$B$17</f>
        <v>74950</v>
      </c>
    </row>
    <row r="42" customFormat="false" ht="15" hidden="false" customHeight="false" outlineLevel="0" collapsed="false">
      <c r="A42" s="4" t="s">
        <v>136</v>
      </c>
      <c r="B42" s="41" t="n">
        <f aca="false">Inversión!$B$17-Inversión!$B$19</f>
        <v>61850</v>
      </c>
    </row>
    <row r="43" customFormat="false" ht="15" hidden="false" customHeight="false" outlineLevel="0" collapsed="false">
      <c r="A43" s="4" t="s">
        <v>137</v>
      </c>
      <c r="B43" s="42" t="n">
        <f aca="false">IFERROR(IF(B37=1,(Inversión!$B$17-Inversión!$B$19)/B35,MATCH(1,B37:P37,0)-1-INDEX(B36:P36,MATCH(1,B37:P37,0)-1)/INDEX(B35:P35,MATCH(1,B37:P37,0))),"&gt;15")</f>
        <v>3.92737191261931</v>
      </c>
    </row>
    <row r="44" customFormat="false" ht="15" hidden="false" customHeight="false" outlineLevel="0" collapsed="false">
      <c r="A44" s="4" t="s">
        <v>138</v>
      </c>
      <c r="B44" s="43" t="n">
        <f aca="false">SUM(B33:F33)/(Inversión!$B$17-Inversión!$B$19)</f>
        <v>0.899906950565886</v>
      </c>
    </row>
    <row r="45" customFormat="false" ht="15" hidden="false" customHeight="false" outlineLevel="0" collapsed="false">
      <c r="A45" s="4" t="s">
        <v>139</v>
      </c>
      <c r="B45" s="43" t="n">
        <f aca="false">SUM(B33:K33)/(Inversión!$B$17-Inversión!$B$19)</f>
        <v>2.3624338782894</v>
      </c>
    </row>
    <row r="46" customFormat="false" ht="15" hidden="false" customHeight="false" outlineLevel="0" collapsed="false">
      <c r="A46" s="4" t="s">
        <v>140</v>
      </c>
      <c r="B46" s="43" t="n">
        <f aca="false">SUM(B33:P33)/(Inversión!$B$17-Inversión!$B$19)</f>
        <v>3.99582725704757</v>
      </c>
    </row>
    <row r="47" customFormat="false" ht="15" hidden="false" customHeight="false" outlineLevel="0" collapsed="false">
      <c r="A47" s="4" t="s">
        <v>141</v>
      </c>
      <c r="B47" s="41" t="n">
        <f aca="false">SUM(B33:K33)</f>
        <v>146116.535372199</v>
      </c>
    </row>
    <row r="49" customFormat="false" ht="15" hidden="false" customHeight="false" outlineLevel="0" collapsed="false">
      <c r="A49" s="44" t="s">
        <v>142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2026-08-24T15:00:06Z</dcterms:created>
  <dc:creator>openpyxl</dc:creator>
  <dc:description/>
  <dc:language>en-US</dc:language>
  <cp:lastModifiedBy/>
  <dcterms:modified xsi:type="dcterms:W3CDTF">2026-08-24T15:00:06Z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